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1770" windowWidth="10095" windowHeight="6135" tabRatio="687" firstSheet="6" activeTab="7"/>
  </bookViews>
  <sheets>
    <sheet name="INFO_OUT" sheetId="1" state="veryHidden" r:id="rId1"/>
    <sheet name="VERSIONI" sheetId="2" state="veryHidden" r:id="rId2"/>
    <sheet name="ANAGR" sheetId="3" state="veryHidden" r:id="rId3"/>
    <sheet name="MESI" sheetId="4" state="veryHidden" r:id="rId4"/>
    <sheet name="Info" sheetId="5" r:id="rId5"/>
    <sheet name="Assegnazione da Regione sk1" sheetId="6" r:id="rId6"/>
    <sheet name="Assegnazione da Regione sk2" sheetId="7" r:id="rId7"/>
    <sheet name="Prospetto di sintesi" sheetId="8" r:id="rId8"/>
    <sheet name="Beni e servizi" sheetId="9" r:id="rId9"/>
    <sheet name="Crediti da RL pregr" sheetId="10" r:id="rId10"/>
    <sheet name="LEGENDA ERRORI" sheetId="11" r:id="rId11"/>
    <sheet name="MAPP_ENTI" sheetId="12" state="veryHidden" r:id="rId12"/>
    <sheet name="ASSEGN" sheetId="13" state="veryHidden" r:id="rId13"/>
    <sheet name="DECRETI" sheetId="14" state="veryHidden" r:id="rId14"/>
    <sheet name="NOTE" sheetId="15" state="veryHidden" r:id="rId15"/>
  </sheets>
  <externalReferences>
    <externalReference r:id="rId18"/>
  </externalReferences>
  <definedNames>
    <definedName name="aaa" localSheetId="3">#REF!</definedName>
    <definedName name="ANAGR">'ANAGR'!$A$1:$G$2</definedName>
    <definedName name="_xlnm.Print_Area" localSheetId="8">'Beni e servizi'!$B$1:$S$45</definedName>
    <definedName name="_xlnm.Print_Area" localSheetId="10">'LEGENDA ERRORI'!$B$1:$C$18</definedName>
    <definedName name="_xlnm.Print_Area" localSheetId="7">'Prospetto di sintesi'!$B$1:$AS$95</definedName>
    <definedName name="ASSEGN">'ASSEGN'!$A$1:$H$25</definedName>
    <definedName name="DECRETI">'DECRETI'!$A$1:$I$62</definedName>
    <definedName name="INFO_OUT" localSheetId="3">#REF!</definedName>
    <definedName name="MAPP_ENTI">'MAPP_ENTI'!$A$1:$D$3</definedName>
    <definedName name="NOTE">'NOTE'!$A$1:$D$6</definedName>
    <definedName name="TENDINA_EROGATORI" localSheetId="3">'[1]SK1.EROG.SAN.2011.E.PREC.'!$AF$8:$AF$8</definedName>
    <definedName name="_xlnm.Print_Titles" localSheetId="7">'Prospetto di sintesi'!$B:$B,'Prospetto di sintesi'!$6:$8</definedName>
    <definedName name="VERSIONI">'VERSIONI'!$A$2:$A$10</definedName>
  </definedNames>
  <calcPr fullCalcOnLoad="1"/>
</workbook>
</file>

<file path=xl/sharedStrings.xml><?xml version="1.0" encoding="utf-8"?>
<sst xmlns="http://schemas.openxmlformats.org/spreadsheetml/2006/main" count="1185" uniqueCount="900">
  <si>
    <t>VERSIONE</t>
  </si>
  <si>
    <t>MESE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</si>
  <si>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</si>
  <si>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</si>
  <si>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</si>
  <si>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</si>
  <si>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</si>
  <si>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</si>
  <si>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</si>
  <si>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</si>
  <si>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</si>
  <si>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</si>
  <si>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</si>
  <si>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</si>
  <si>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</si>
  <si>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</si>
  <si>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</si>
  <si>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</si>
  <si>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702</t>
  </si>
  <si>
    <t>ASST SANTI PAOLO E CARLO</t>
  </si>
  <si>
    <t>2016</t>
  </si>
  <si>
    <t>Preventivo</t>
  </si>
  <si>
    <t>PREV.V2</t>
  </si>
  <si>
    <t>07/09/2016 14:03:27</t>
  </si>
  <si>
    <t>DECR.V2</t>
  </si>
  <si>
    <t>NUM_MESE</t>
  </si>
  <si>
    <t>MESI</t>
  </si>
  <si>
    <t>01</t>
  </si>
  <si>
    <t>01_Gennaio</t>
  </si>
  <si>
    <t>02</t>
  </si>
  <si>
    <t>02_Febbraio</t>
  </si>
  <si>
    <t>03</t>
  </si>
  <si>
    <t>03_Marzo</t>
  </si>
  <si>
    <t>04</t>
  </si>
  <si>
    <t>04_Aprile</t>
  </si>
  <si>
    <t>05</t>
  </si>
  <si>
    <t>05_Maggio</t>
  </si>
  <si>
    <t>06</t>
  </si>
  <si>
    <t>06_Giugno</t>
  </si>
  <si>
    <t>07</t>
  </si>
  <si>
    <t>07_Luglio</t>
  </si>
  <si>
    <t>08</t>
  </si>
  <si>
    <t>08_Agosto</t>
  </si>
  <si>
    <t>09</t>
  </si>
  <si>
    <t>09_Settembre</t>
  </si>
  <si>
    <t>10</t>
  </si>
  <si>
    <t>10_Ottobre</t>
  </si>
  <si>
    <t>11</t>
  </si>
  <si>
    <t>11_Novembre</t>
  </si>
  <si>
    <t>12</t>
  </si>
  <si>
    <t>12_Dicembre</t>
  </si>
  <si>
    <t>Azienda</t>
  </si>
  <si>
    <t>Anno</t>
  </si>
  <si>
    <t>Modulo</t>
  </si>
  <si>
    <t/>
  </si>
  <si>
    <t>Versione</t>
  </si>
  <si>
    <t xml:space="preserve">Data </t>
  </si>
  <si>
    <t xml:space="preserve">  !! INSERIRE LA DATA DI COMPILAZIONE !!</t>
  </si>
  <si>
    <t>vers. modello 1.0 - Agosto 2016</t>
  </si>
  <si>
    <t>ASL MILANO N° 3</t>
  </si>
  <si>
    <t>PRE2</t>
  </si>
  <si>
    <t>ASL PAVIA</t>
  </si>
  <si>
    <t>PRE3</t>
  </si>
  <si>
    <t>ASL SONDRIO</t>
  </si>
  <si>
    <t>PRE4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</si>
  <si>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</si>
  <si>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</si>
  <si>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</si>
  <si>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</si>
  <si>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</si>
  <si>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</si>
  <si>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</si>
  <si>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</si>
  <si>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</si>
  <si>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</si>
  <si>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</si>
  <si>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</si>
  <si>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</si>
  <si>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</si>
  <si>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</si>
  <si>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</si>
  <si>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</si>
  <si>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</si>
  <si>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</si>
  <si>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</si>
  <si>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</si>
  <si>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</si>
  <si>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</si>
  <si>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</si>
  <si>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</si>
  <si>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</si>
  <si>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CIVILE -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</si>
  <si>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</si>
  <si>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</si>
  <si>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</si>
  <si>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</si>
  <si>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</si>
  <si>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</si>
  <si>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</si>
  <si>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</si>
  <si>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</si>
  <si>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XXX</t>
  </si>
  <si>
    <t>--</t>
  </si>
  <si>
    <t>(valori in migliaia di Euro)</t>
  </si>
  <si>
    <t>ASSEGNAZIONE SAN</t>
  </si>
  <si>
    <t>ASSEGNAZIONE AREU</t>
  </si>
  <si>
    <t>ASSEGNAZIONE TOTALE</t>
  </si>
  <si>
    <t>Controllo quadratura</t>
  </si>
  <si>
    <t>Sezione A:</t>
  </si>
  <si>
    <t>ASSEGNAZIONE E VALIDAZIONE CONTRIBUTI REGIONALI</t>
  </si>
  <si>
    <t>A1TOT</t>
  </si>
  <si>
    <t>1)</t>
  </si>
  <si>
    <t>Contributi in c/esercizio da Regione - FSR INDISTINTO</t>
  </si>
  <si>
    <t>AOIR14</t>
  </si>
  <si>
    <t>Contributo da destinare al finanziamento del Pssr, progetti obiettivo, miglioramento qualità offerta e realizzazione piani di sviluppo regionali</t>
  </si>
  <si>
    <t>AOIR02</t>
  </si>
  <si>
    <t xml:space="preserve">Funzioni non tariffate </t>
  </si>
  <si>
    <t>AOIR11</t>
  </si>
  <si>
    <t>Altri Contributi in c/esercizio da Regione - FSR Indistinto</t>
  </si>
  <si>
    <t>Altri contributi da Regione per servizi socio-sanitari (ASSI)-(FSR indistinto)</t>
  </si>
  <si>
    <t>2)</t>
  </si>
  <si>
    <t>Contributi in c/esercizio da Regione - FSR VINCOLATO</t>
  </si>
  <si>
    <t>3)</t>
  </si>
  <si>
    <t>Contributi in c/esercizio da Regione - EXTRA FONDO</t>
  </si>
  <si>
    <t>Sezione B:</t>
  </si>
  <si>
    <t>VALIDAZIONE RICAVI E ALTRI CONTRIBUTI</t>
  </si>
  <si>
    <t>AOIR12</t>
  </si>
  <si>
    <t>4)</t>
  </si>
  <si>
    <t xml:space="preserve">Altri Contributi: Enti Pubblici e Privati </t>
  </si>
  <si>
    <t>AOIR06</t>
  </si>
  <si>
    <t>5)</t>
  </si>
  <si>
    <t>Entrate proprie - Vincolo</t>
  </si>
  <si>
    <t>AOIR13</t>
  </si>
  <si>
    <t>6)</t>
  </si>
  <si>
    <t>Proventi Finanziari e Straordinari</t>
  </si>
  <si>
    <t>AOIR10</t>
  </si>
  <si>
    <t>7)</t>
  </si>
  <si>
    <t>Utilizzo Contributi anni precedenti</t>
  </si>
  <si>
    <t>Sezione C:</t>
  </si>
  <si>
    <t>RICAVI DI PRODUZIONE</t>
  </si>
  <si>
    <t>C8TOT</t>
  </si>
  <si>
    <t>8)</t>
  </si>
  <si>
    <t>Prestazioni di ricovero</t>
  </si>
  <si>
    <t>AOIR01</t>
  </si>
  <si>
    <t>Lombardi</t>
  </si>
  <si>
    <t xml:space="preserve">Legge 7 </t>
  </si>
  <si>
    <t>Mobilità attiva extraregione</t>
  </si>
  <si>
    <t>Mobilità attiva internazionale (oneri 7)</t>
  </si>
  <si>
    <t>Stranieri (oneri 8, 9 e altri)</t>
  </si>
  <si>
    <t>C9TOT</t>
  </si>
  <si>
    <t>9)</t>
  </si>
  <si>
    <t>Prestazioni specialistica ambulatoriale</t>
  </si>
  <si>
    <t>AOIR03</t>
  </si>
  <si>
    <t>Lombardi (compreso screening 1° e 2° livello)</t>
  </si>
  <si>
    <t>AOIR05</t>
  </si>
  <si>
    <t>Screening</t>
  </si>
  <si>
    <t>Stranieri (oneri 9 e altri)</t>
  </si>
  <si>
    <t>AOIR04</t>
  </si>
  <si>
    <t>10)</t>
  </si>
  <si>
    <t>Prestazioni Neuropsichiatria Infantile (compreso fuori regione e progetti)</t>
  </si>
  <si>
    <t>AOIR08</t>
  </si>
  <si>
    <t>11)</t>
  </si>
  <si>
    <t>Prestazioni di Psichiatria (compreso fuori regione e progetti)</t>
  </si>
  <si>
    <t>C12TOT</t>
  </si>
  <si>
    <t>12)</t>
  </si>
  <si>
    <t>Farmaci di file F</t>
  </si>
  <si>
    <t>AOIR09</t>
  </si>
  <si>
    <t xml:space="preserve">File F lombardi compreso carcerati </t>
  </si>
  <si>
    <t>File F HCV</t>
  </si>
  <si>
    <t>File F fuori regione</t>
  </si>
  <si>
    <t>File F stranieri</t>
  </si>
  <si>
    <t>C13TOT</t>
  </si>
  <si>
    <t>13)</t>
  </si>
  <si>
    <t>Prestazioni sanitarie</t>
  </si>
  <si>
    <t>AOIR15</t>
  </si>
  <si>
    <t>Doppio canale e Primo ciclo lombardi</t>
  </si>
  <si>
    <t>Doppio canale e Primo ciclo fuori regione</t>
  </si>
  <si>
    <t>Doppio canale e Primo ciclo stranieri</t>
  </si>
  <si>
    <t>Subacuti</t>
  </si>
  <si>
    <t>Reti sanitarie</t>
  </si>
  <si>
    <t>Atre prestazioni sanitarie</t>
  </si>
  <si>
    <t>Sezione D:</t>
  </si>
  <si>
    <t>COSTI - (vincoli di costo secondo le specifiche del testo del Decreto)</t>
  </si>
  <si>
    <t>D1TOT</t>
  </si>
  <si>
    <t>Totale costi (al netto della ALP e dei costi capitalizzati)</t>
  </si>
  <si>
    <t>AOIC01</t>
  </si>
  <si>
    <t>Costo del personale (escluso Irap)</t>
  </si>
  <si>
    <t>ONPERS</t>
  </si>
  <si>
    <t>Personale con oneri riflessi</t>
  </si>
  <si>
    <t>ONCOMP</t>
  </si>
  <si>
    <t>RAR comparto con oneri riflessi</t>
  </si>
  <si>
    <t>ONDIR</t>
  </si>
  <si>
    <t>RAR dirigenza con oneri riflessi</t>
  </si>
  <si>
    <t>AOIC02</t>
  </si>
  <si>
    <t>Irap (su personale dipendente)</t>
  </si>
  <si>
    <t>AOIC04</t>
  </si>
  <si>
    <t>Beni e servizi</t>
  </si>
  <si>
    <t>INTPROT</t>
  </si>
  <si>
    <t>Integrativa e protesica</t>
  </si>
  <si>
    <t>AOIC06</t>
  </si>
  <si>
    <t>Altri costi</t>
  </si>
  <si>
    <t>AOIC05</t>
  </si>
  <si>
    <t>Ammortamenti (al netto dei costi capitalizzati)</t>
  </si>
  <si>
    <t>AOIC07</t>
  </si>
  <si>
    <t>Accantonamenti</t>
  </si>
  <si>
    <t>AOIC08</t>
  </si>
  <si>
    <t>Oneri finanziari e straordinari</t>
  </si>
  <si>
    <t>NOTA0</t>
  </si>
  <si>
    <t>NOTE:</t>
  </si>
  <si>
    <t>NOTA1</t>
  </si>
  <si>
    <t>NOTA2</t>
  </si>
  <si>
    <t>NOTA3</t>
  </si>
  <si>
    <t>NOTA4</t>
  </si>
  <si>
    <t>NOTA5</t>
  </si>
  <si>
    <t>NOTA6</t>
  </si>
  <si>
    <t>NOTA7</t>
  </si>
  <si>
    <t>NOTA8</t>
  </si>
  <si>
    <t>NOTA9</t>
  </si>
  <si>
    <t>NOTA10</t>
  </si>
  <si>
    <t>ASSEGNAZIONE SALUTE</t>
  </si>
  <si>
    <t>TRIC_NOALP</t>
  </si>
  <si>
    <t>TOTALE RICAVI AL NETTO ALP</t>
  </si>
  <si>
    <t>TCOS_NOALP</t>
  </si>
  <si>
    <t>TOTALE COSTI AL NETTO ALP</t>
  </si>
  <si>
    <t>AOIR07</t>
  </si>
  <si>
    <t>RICAVI: Libera professione (art. 55 CCNL)</t>
  </si>
  <si>
    <t>AOIC03</t>
  </si>
  <si>
    <t>COSTI: Libera professione (art. 55 CCNL) + IRAP</t>
  </si>
  <si>
    <t>AOIR11_R</t>
  </si>
  <si>
    <t>Rettifica  - Contributi da Regione per quota F.S. Regionale</t>
  </si>
  <si>
    <t>AOIR12_R</t>
  </si>
  <si>
    <t>Rettifica  - altri contributi</t>
  </si>
  <si>
    <t>TOTRIC</t>
  </si>
  <si>
    <t xml:space="preserve">TOTALE RICAVI </t>
  </si>
  <si>
    <t>TOTCOS</t>
  </si>
  <si>
    <t xml:space="preserve">TOTALE COSTI </t>
  </si>
  <si>
    <t>RISES</t>
  </si>
  <si>
    <t>RISULTATO D'ESERCIZIO</t>
  </si>
  <si>
    <t>Azienda:</t>
  </si>
  <si>
    <t>Codice NI Regione</t>
  </si>
  <si>
    <t>Sanitario</t>
  </si>
  <si>
    <t>Territoriale</t>
  </si>
  <si>
    <t>SAN+TER</t>
  </si>
  <si>
    <t>Credito v/Regione</t>
  </si>
  <si>
    <t>Ricavo</t>
  </si>
  <si>
    <t>Descrizione dettaglio</t>
  </si>
  <si>
    <t>ASSEGN.CR.1</t>
  </si>
  <si>
    <t>1.20.20.20.010.030.40.000</t>
  </si>
  <si>
    <t>4.10.10.10.045.000.00.000</t>
  </si>
  <si>
    <t>Contributo Pssr, progetti obiettivo, etc. - FSR Indistinto</t>
  </si>
  <si>
    <t>ASSEGN.CR.2</t>
  </si>
  <si>
    <t>1.20.20.20.010.030.30.000</t>
  </si>
  <si>
    <t>4.10.10.10.020.000.00.000</t>
  </si>
  <si>
    <t>Funzioni non tariffate - FSR Indistinto</t>
  </si>
  <si>
    <t>ASSEGN.CR.3</t>
  </si>
  <si>
    <t>ASSEGN.CR.4</t>
  </si>
  <si>
    <t>1.20.20.20.010.090.00.000</t>
  </si>
  <si>
    <t>4.10.10.10.090.000.00.000</t>
  </si>
  <si>
    <t>Equiparazione finanziaria</t>
  </si>
  <si>
    <t>ASSEGN.CR.5</t>
  </si>
  <si>
    <t>RAR (compresi oneri e Irap)</t>
  </si>
  <si>
    <t>ASSEGN.CR.6</t>
  </si>
  <si>
    <t>Sanità penitenziaria</t>
  </si>
  <si>
    <t>ASSEGN.CR.7</t>
  </si>
  <si>
    <t>Contributo riallineamento funzioni anno 2014</t>
  </si>
  <si>
    <t>ASSEGN.CR.8</t>
  </si>
  <si>
    <t>Contributo riallineamento funzioni anno 2013</t>
  </si>
  <si>
    <t>ASSEGN.CR.9</t>
  </si>
  <si>
    <t>Contributi UNA TANTUM Prestazioni</t>
  </si>
  <si>
    <t>ASSEGN.CR.10</t>
  </si>
  <si>
    <t>Contributo per accantonamenti franchigie/SIR e autoassicurazione</t>
  </si>
  <si>
    <t>ASSEGN.CR.11</t>
  </si>
  <si>
    <t>Contributo per riconoscimento costi specifici</t>
  </si>
  <si>
    <t>ASSEGN.CR.12</t>
  </si>
  <si>
    <t>Contributi Nuovi Ospedali</t>
  </si>
  <si>
    <t>ASSEGN.CR.13</t>
  </si>
  <si>
    <t>Altri contributi regione: progetti</t>
  </si>
  <si>
    <t>ASSEGN.CR.14</t>
  </si>
  <si>
    <t>Altri contributi regione: storicizzazione anni precedenti</t>
  </si>
  <si>
    <t>ASSEGN.CR.141</t>
  </si>
  <si>
    <t>Altri contributi regione: TERRITORIALE</t>
  </si>
  <si>
    <t>ASSEGN.CR.142</t>
  </si>
  <si>
    <t>4.10.10.10.095.000.00.000</t>
  </si>
  <si>
    <t>Altri contributi da Regione per servizi socio-sanitari (ASSI)-(FSR indistinto) Contributo regionale</t>
  </si>
  <si>
    <t>ASSEGN.CR.15</t>
  </si>
  <si>
    <t>ASSEGN.CR.16</t>
  </si>
  <si>
    <t>1.20.20.20.010.030.50.000</t>
  </si>
  <si>
    <t>4.10.10.10.210.000.00.000</t>
  </si>
  <si>
    <t>AIDS (L. 135/90) Formazione</t>
  </si>
  <si>
    <t>ASSEGN.CR.17</t>
  </si>
  <si>
    <t>Medicina Penitenziaria</t>
  </si>
  <si>
    <t>ASSEGN.CR.18</t>
  </si>
  <si>
    <t>Altri contributi FSR vincolato</t>
  </si>
  <si>
    <t>ASSEGN.CR.19</t>
  </si>
  <si>
    <t>ASSEGN.CR.20</t>
  </si>
  <si>
    <t>1.20.20.20.010.030.60.000</t>
  </si>
  <si>
    <t>4.10.10.20.010.030.00.000</t>
  </si>
  <si>
    <t>Altri contributi Extra Fondo</t>
  </si>
  <si>
    <t>ASSEGN.CR.21</t>
  </si>
  <si>
    <t>ASSEGN.CR.25</t>
  </si>
  <si>
    <t>Patrimonio Netto</t>
  </si>
  <si>
    <t>ASSEGN.CR.26</t>
  </si>
  <si>
    <t>1.20.20.20.020.010.00.000</t>
  </si>
  <si>
    <t>3.10.20.30.000.000.00.000</t>
  </si>
  <si>
    <t>CONTRIBUTO IN C/CAPITALE per Protesica Maggiore Investimenti</t>
  </si>
  <si>
    <t>B.II.2.b.1) Crediti v/Regione o Provincia Autonoma per finanziamenti per investimenti</t>
  </si>
  <si>
    <t>A.II.3) Finanziamenti da Regione per investimenti</t>
  </si>
  <si>
    <t>DENOMINAZIONE</t>
  </si>
  <si>
    <t xml:space="preserve">CODICE </t>
  </si>
  <si>
    <t xml:space="preserve">I TRIMESTRE </t>
  </si>
  <si>
    <t xml:space="preserve">II TRIMESTRE </t>
  </si>
  <si>
    <t xml:space="preserve">III TRIMESTRE </t>
  </si>
  <si>
    <t xml:space="preserve">IV TRIMESTRE </t>
  </si>
  <si>
    <t>TOTALE ANNO DI COMPETENZA</t>
  </si>
  <si>
    <t>TOTALE ANNI PREGRESSI</t>
  </si>
  <si>
    <t>COMPLESSIVO CASSA</t>
  </si>
  <si>
    <t xml:space="preserve">DESCRIZIONE MOVIMENTI </t>
  </si>
  <si>
    <t>GENNAIO</t>
  </si>
  <si>
    <t>FEBBRAIO</t>
  </si>
  <si>
    <t>MARZO</t>
  </si>
  <si>
    <t>SALDO TRIMESTRE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</si>
  <si>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</si>
  <si>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</si>
  <si>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</si>
  <si>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</si>
  <si>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</si>
  <si>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</si>
  <si>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</si>
  <si>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</si>
  <si>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</si>
  <si>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COMPETENZA ESERCIZIO</t>
  </si>
  <si>
    <t>COMPETENZA ANNI PRECEDENTI</t>
  </si>
  <si>
    <t>TOTALE MESE</t>
  </si>
  <si>
    <t xml:space="preserve">SALDO INIZIALE DI TESORERIA </t>
  </si>
  <si>
    <t>ENTRATE CORRENTI</t>
  </si>
  <si>
    <t>da Regione</t>
  </si>
  <si>
    <t>SINT.IN.RL.1</t>
  </si>
  <si>
    <t xml:space="preserve"> - per Contributi in c/esercizio da Regione - FSR INDISTINTO</t>
  </si>
  <si>
    <t>SINT.IN.RL.111</t>
  </si>
  <si>
    <t xml:space="preserve"> - di cui rete territoriale ex L.R.23/2015</t>
  </si>
  <si>
    <t>SINT.IN.RL.2</t>
  </si>
  <si>
    <t xml:space="preserve"> - di cui SAN (polo ospedaliero)</t>
  </si>
  <si>
    <t>SINT.IN.RL.4</t>
  </si>
  <si>
    <t xml:space="preserve"> - per Contributi in c/esercizio da Regione - FSR VINCOLATO</t>
  </si>
  <si>
    <t>SINT.IN.RL.5</t>
  </si>
  <si>
    <t xml:space="preserve"> - per Contributi in c/esercizio da Regione - EXTRA FONDO</t>
  </si>
  <si>
    <t>SINT.IN.RL.112</t>
  </si>
  <si>
    <t xml:space="preserve"> - per beni e servizi centralizzati (Entrate virtuali a valere sul sistema G3S) RETE TERRITORIALE - IN COMPENSAZIONE</t>
  </si>
  <si>
    <t>da propria ATS per competenza POLO OSPEDALIERO</t>
  </si>
  <si>
    <t>SINT.IN.RL.114</t>
  </si>
  <si>
    <t xml:space="preserve"> - per produzione (cassa reale)</t>
  </si>
  <si>
    <t>SINT.IN.RL.115</t>
  </si>
  <si>
    <t xml:space="preserve"> - per beni e servizi centralizzati (Entrate virtuali a valere sul sistema G3S) POLO OSPEDALIERO - IN COMPENSAZIONE</t>
  </si>
  <si>
    <t>da propria ATS per competenza RETE TERRITORIALE</t>
  </si>
  <si>
    <t>SINT.IN.RL.117</t>
  </si>
  <si>
    <t xml:space="preserve"> - per gestioni dirette ex ASL Milano 1 e ASL Brescia</t>
  </si>
  <si>
    <t>SINT.IN.RL.118</t>
  </si>
  <si>
    <t xml:space="preserve"> - per cassa reale del territorio (es. IVA split)</t>
  </si>
  <si>
    <t>SINT.IN.RL.119</t>
  </si>
  <si>
    <t xml:space="preserve"> - per beni e servizi centralizzati (Tipologia 13/doppio canale) Entrate virtuali a valere sul sistema G3S</t>
  </si>
  <si>
    <t>da altri soggetti della regione</t>
  </si>
  <si>
    <t>SINT.IN.ALTRORL.8</t>
  </si>
  <si>
    <t xml:space="preserve"> - da AREU</t>
  </si>
  <si>
    <t>SINT.IN.ALTRORL.9</t>
  </si>
  <si>
    <t xml:space="preserve"> - da ARPA</t>
  </si>
  <si>
    <t>SINT.IN.ALTRORL.3</t>
  </si>
  <si>
    <t xml:space="preserve"> - da ATS/ASST/IRCCS della Regione</t>
  </si>
  <si>
    <t>SINT.IN.ALTRORL.10</t>
  </si>
  <si>
    <t xml:space="preserve"> - incassi ex gestione transitoria L.R.23/2015</t>
  </si>
  <si>
    <t xml:space="preserve">da altri soggetti </t>
  </si>
  <si>
    <t>SINT.IN.ALTRORL.115</t>
  </si>
  <si>
    <t xml:space="preserve"> - rimborsi dalle prefetture per stranieri STP</t>
  </si>
  <si>
    <t>SINT.IN.ALTRORL.116</t>
  </si>
  <si>
    <t xml:space="preserve"> - da Erogatori sanitari Privati </t>
  </si>
  <si>
    <t>SINT.IN.ALTRORL.117</t>
  </si>
  <si>
    <t xml:space="preserve"> - da altre Aziende Sanitarie fuori regione</t>
  </si>
  <si>
    <t>SINT.IN.ALTROS.1</t>
  </si>
  <si>
    <t xml:space="preserve"> - da Comune</t>
  </si>
  <si>
    <t>SINT.IN.ALTROS.2</t>
  </si>
  <si>
    <t xml:space="preserve"> - da Erario</t>
  </si>
  <si>
    <t>SINT.IN.ALTRORL.118</t>
  </si>
  <si>
    <t xml:space="preserve"> - da Stato per ricerca (solo per IRCCS)</t>
  </si>
  <si>
    <t>da entrate proprie</t>
  </si>
  <si>
    <t>SINT.IN.PROPRIE.1</t>
  </si>
  <si>
    <t xml:space="preserve"> - Entrate proprie</t>
  </si>
  <si>
    <t>SINT.IN.PROPRIE.112</t>
  </si>
  <si>
    <t xml:space="preserve"> - Altre entrate proprie per gestione territoriale</t>
  </si>
  <si>
    <t>ENTRATE PER INVESTIMENTI</t>
  </si>
  <si>
    <t>SINT.IN.INV.1</t>
  </si>
  <si>
    <t xml:space="preserve"> - finanziamenti pe investimenti da Regione</t>
  </si>
  <si>
    <t>SINT.IN.INV.2</t>
  </si>
  <si>
    <t xml:space="preserve"> - finanziamenti pe investimenti da Stato</t>
  </si>
  <si>
    <t>SINT.IN.INV.3</t>
  </si>
  <si>
    <t xml:space="preserve"> - finanziamenti pe investimenti da Unione Europea</t>
  </si>
  <si>
    <t>SINT.IN.INV.4</t>
  </si>
  <si>
    <t>finanziamenti pe investimenti da altri:</t>
  </si>
  <si>
    <t>SINT.IN.INV.5</t>
  </si>
  <si>
    <t xml:space="preserve"> - per vendite patrimoniali</t>
  </si>
  <si>
    <t>SINT.IN.INV.6</t>
  </si>
  <si>
    <t>- finanziamenti per investimenti da altri</t>
  </si>
  <si>
    <t>ALTRE ENTRATE</t>
  </si>
  <si>
    <t>SINT.IN.ALTRO.1</t>
  </si>
  <si>
    <t xml:space="preserve"> - per disaccantonamenti</t>
  </si>
  <si>
    <t>SINT.IN.ALTRO.2</t>
  </si>
  <si>
    <t xml:space="preserve"> - per mutui attivati</t>
  </si>
  <si>
    <t>SINT.IN.ALTRO.3</t>
  </si>
  <si>
    <t xml:space="preserve"> - per vendita titoli</t>
  </si>
  <si>
    <t>ENTRATE STRAORDINARIE</t>
  </si>
  <si>
    <t>SINT.IN.EXTRA.1</t>
  </si>
  <si>
    <t xml:space="preserve"> - per quota straordinaria da regione ex L.R. n.24/2014</t>
  </si>
  <si>
    <t>SINT.IN.TOT.99</t>
  </si>
  <si>
    <t>TOTALE ENTRATE</t>
  </si>
  <si>
    <t>USCITE CORRENTI</t>
  </si>
  <si>
    <t>SINT.OUT.CORR.1</t>
  </si>
  <si>
    <t>Pagamenti personale dipendente</t>
  </si>
  <si>
    <t>SINT.OUT.CORR.2</t>
  </si>
  <si>
    <t>Pagamenti personale non strutturato (collaborazioni, interinali, ecc.)</t>
  </si>
  <si>
    <t>SINT.OUT.CORR.3</t>
  </si>
  <si>
    <t>Pagamenti per IRAP, IRPEF, altri contributi</t>
  </si>
  <si>
    <t>SINT.OUT.CORR.111</t>
  </si>
  <si>
    <t>Pagamenti beni e servizi G3S (quota imponibile) POLO OSPEDALIERO - al netto IVA split</t>
  </si>
  <si>
    <t>SINT.OUT.CORR.112</t>
  </si>
  <si>
    <t>Pagamenti beni e servizi G3S (quota imponibile) RETE TERRITORIALE - al netto IVA split - in compensazione con Regione</t>
  </si>
  <si>
    <t>SINT.OUT.CORR.113</t>
  </si>
  <si>
    <t>Pagamenti beni e servizi G3S (quota imponibile) RETE TERRITORIALE - al netto IVA split - in compensazione con ATS</t>
  </si>
  <si>
    <t>SINT.OUT.CORR.114</t>
  </si>
  <si>
    <t>Pagamenti rete territoriale ex L.R. 23/2015 (Personale dip e non, beni e servizi a gestione diretta, altre voci) - al netto IVA split</t>
  </si>
  <si>
    <t>SINT.OUT.CORR.115</t>
  </si>
  <si>
    <t>Pagamenti beni e servizi a gestione diretta (quota imponibile) - al netto IVA split</t>
  </si>
  <si>
    <t>SINT.OUT.CORR.116</t>
  </si>
  <si>
    <t>Pagamenti IVA split (SAN)</t>
  </si>
  <si>
    <t>SINT.OUT.CORR.117</t>
  </si>
  <si>
    <t>Pagamenti IVA split TER</t>
  </si>
  <si>
    <t>SINT.OUT.CORR.118</t>
  </si>
  <si>
    <t>Pagamenti servizi sanitari verso ATS/ASST/IRCCS, della Regione e AREU (intercompany)</t>
  </si>
  <si>
    <t>SINT.OUT.CORR.119</t>
  </si>
  <si>
    <t>Pagamento servizi santari verso altri enti pubblici</t>
  </si>
  <si>
    <t>SINT.OUT.CORR.120</t>
  </si>
  <si>
    <t>Pagamento servizi santari verso erogatori privati</t>
  </si>
  <si>
    <t>SINT.OUT.CORR.121</t>
  </si>
  <si>
    <t>Pagamenti per ricerca (IRCCS)</t>
  </si>
  <si>
    <t>SINT.OUT.CORR.123</t>
  </si>
  <si>
    <t>Restituzione anticipi ATS per rimborsi prefetture STRANIERI STP</t>
  </si>
  <si>
    <t>SINT.OUT.CORR.24</t>
  </si>
  <si>
    <t>Pagamenti ex gestione transitoria L.R.23/2015</t>
  </si>
  <si>
    <t>USCITE PER INVESTIMENTI</t>
  </si>
  <si>
    <t>SINT.OUT.INV.1</t>
  </si>
  <si>
    <t>Rimborso mutui/altri finanziamenti</t>
  </si>
  <si>
    <t>SINT.OUT.INV.2</t>
  </si>
  <si>
    <t>Pagamenti SAL/fornitori per investimenti</t>
  </si>
  <si>
    <t>ALTRE USCITE</t>
  </si>
  <si>
    <t>SINT.OUT.ALTRO.1</t>
  </si>
  <si>
    <t>- altre uscite straordinarie</t>
  </si>
  <si>
    <t>SINT.OUT.TOT.1</t>
  </si>
  <si>
    <t>TOTALE USCITE</t>
  </si>
  <si>
    <t>SINT.FABB.TOT1</t>
  </si>
  <si>
    <t>FABBISOGNO DI PERIODO (entrate - uscite)</t>
  </si>
  <si>
    <t>SINT.FABB.TOT2</t>
  </si>
  <si>
    <t xml:space="preserve"> di cui fabbisogno per SOCIO SANITARIO</t>
  </si>
  <si>
    <t>SINT.FABB.TOT3</t>
  </si>
  <si>
    <t>SALDO FINALE (tesoreria - fabbisogno di periodo)</t>
  </si>
  <si>
    <t>SINT.FABB.TOT4</t>
  </si>
  <si>
    <t>SALDO FINALE DI TESORERIA (saldo finale - contributi + rimessa di cassa)</t>
  </si>
  <si>
    <t>SINT.AGG.1</t>
  </si>
  <si>
    <t>Anticipazione ordinaria del tesoriere utilizzata nel periodo</t>
  </si>
  <si>
    <t>SINT.AGG.2</t>
  </si>
  <si>
    <t>Giorni medi mensili di scoperto</t>
  </si>
  <si>
    <t>SINT.AGG.3</t>
  </si>
  <si>
    <t>Interessi passivi maturati (importo)</t>
  </si>
  <si>
    <t>SINT.SAN.TOT.1</t>
  </si>
  <si>
    <t>IPOTESI RIMESSA DI CASSA REGIONALE SAN (preventivo)</t>
  </si>
  <si>
    <t>SINT.TER.TOT.2</t>
  </si>
  <si>
    <t>IPOTESI RIMESSA DI CASSA REGIONALE TER (preventivo)</t>
  </si>
  <si>
    <t>SINT.SAN.TOT.3</t>
  </si>
  <si>
    <t>IPOTESI RIMESSA DI CASSA REGIONALE SAN (consuntivo)</t>
  </si>
  <si>
    <t>SINT.TER.TOT.4</t>
  </si>
  <si>
    <t>IPOTESI RIMESSA DI CASSA REGIONALE TER (consuntivo)</t>
  </si>
  <si>
    <t>SINT.COMP.G3S</t>
  </si>
  <si>
    <t>compensazione G3S regionale</t>
  </si>
  <si>
    <t>SINT.CASSA.RL</t>
  </si>
  <si>
    <t>totale cassa regionale (reale e G3S)</t>
  </si>
  <si>
    <t>BENI E SERVIZI, ALTRI ACQUISTI E FONTI DI FINANZIAMENTO</t>
  </si>
  <si>
    <t>FONTI DI FINANZIAMENTO</t>
  </si>
  <si>
    <t>POLO OSPEDALIERO</t>
  </si>
  <si>
    <t>ACQUISTO BENI E SERVIZI (SAN)</t>
  </si>
  <si>
    <t>Competenza esercizio</t>
  </si>
  <si>
    <t>Pagamenti netti dell'esercizio (cumulati all'ultima data del piano)</t>
  </si>
  <si>
    <t>importo contestazioni/fatture sospese</t>
  </si>
  <si>
    <t>split versato</t>
  </si>
  <si>
    <t>saldo (acquisti - pagamenti)</t>
  </si>
  <si>
    <t>voce di NI</t>
  </si>
  <si>
    <t>Importo finanziato da ATS SAN (competenza)</t>
  </si>
  <si>
    <t>compensazioni G3S effettuate con ATS (di competenza)</t>
  </si>
  <si>
    <t>cassa reale (di competenza)</t>
  </si>
  <si>
    <t>saldo (finanziato -compensato/cassa)</t>
  </si>
  <si>
    <t>BS.SAN.1</t>
  </si>
  <si>
    <t>Acquisto beni e servizi a gestione diretta</t>
  </si>
  <si>
    <t>BS.SAN.2</t>
  </si>
  <si>
    <t>Acquisto beni e servizi a gestione centralizzata</t>
  </si>
  <si>
    <t>BS.SAN.3</t>
  </si>
  <si>
    <t>totaleSAN</t>
  </si>
  <si>
    <t>BS.SAN.4</t>
  </si>
  <si>
    <t>di cui importo split payment (per Acquisto beni e servizi a gestione diretta)</t>
  </si>
  <si>
    <t>BS.SAN.5</t>
  </si>
  <si>
    <t>di cui importo split payment (per Acquisto beni e servizi a gestione centralizzata)</t>
  </si>
  <si>
    <t>RETE TERRITORIALE</t>
  </si>
  <si>
    <t>ACQUISTO BENI E SERVIZI (TER)</t>
  </si>
  <si>
    <t>Importo finanziato da ATS TER (competenza)</t>
  </si>
  <si>
    <t>Importo assegnato da RL BPE (competenza)</t>
  </si>
  <si>
    <t>compensazioni G3S effettuate con la Regione (di competenza)</t>
  </si>
  <si>
    <t>saldo (ASSEGNATO-compensato/cassa)</t>
  </si>
  <si>
    <t>BS.TER.1</t>
  </si>
  <si>
    <t>BS.TER.2</t>
  </si>
  <si>
    <t>BS.TER.3</t>
  </si>
  <si>
    <t>totaleTER</t>
  </si>
  <si>
    <t>BS.TER.4</t>
  </si>
  <si>
    <t>BS.TER.5</t>
  </si>
  <si>
    <t>BS.SAN.6</t>
  </si>
  <si>
    <t>Altro (riga di quadratura con il finanziato)</t>
  </si>
  <si>
    <t>BS.SAN.7</t>
  </si>
  <si>
    <t>totale</t>
  </si>
  <si>
    <t>TOTALI DI COMPETENZA (OSPEDALIERA + TERRITORIALE)</t>
  </si>
  <si>
    <t>TOTALE COMPETENZA</t>
  </si>
  <si>
    <t>TOTALE Pagamenti dell'esercizio (cumulati all'ultima data del piano)</t>
  </si>
  <si>
    <t>TOTALE importo contestazioni/fatture sospese</t>
  </si>
  <si>
    <t>totale split versato</t>
  </si>
  <si>
    <t>TOTALE finanziato da ATS</t>
  </si>
  <si>
    <t>TOTALE compensazioni G3S effettuate con ATS</t>
  </si>
  <si>
    <t>TOTALE cassa reale</t>
  </si>
  <si>
    <t>TOTALE finanziato da REGIONE</t>
  </si>
  <si>
    <t>TOTALE compensazioni G3S effettuate con la Regione</t>
  </si>
  <si>
    <t>BS.SANTER.TOT</t>
  </si>
  <si>
    <t>DEBITO VERSO FORNITORI PREGRESSI</t>
  </si>
  <si>
    <t>Pagamenti dell'esercizio a valere sui debiti pregressi</t>
  </si>
  <si>
    <t>importo contestazioni/sospensioni pregresse</t>
  </si>
  <si>
    <t>saldo pregresso</t>
  </si>
  <si>
    <t>Importo finanziato da ex ASL (saldi)</t>
  </si>
  <si>
    <t>compensazioni G3S effettuate con ATS (su pregresso)</t>
  </si>
  <si>
    <t>cassa reale (pregresso)</t>
  </si>
  <si>
    <t>BS.DEB.1</t>
  </si>
  <si>
    <t>gestione diretta</t>
  </si>
  <si>
    <t>BS.DEB.2</t>
  </si>
  <si>
    <t>gestione centralizzata</t>
  </si>
  <si>
    <t>BS.DEB.3</t>
  </si>
  <si>
    <t>totale debito verso fornitori</t>
  </si>
  <si>
    <t xml:space="preserve">TOTALE </t>
  </si>
  <si>
    <t>al TRIMESTRE</t>
  </si>
  <si>
    <t>Pagamenti totali</t>
  </si>
  <si>
    <t>totale split</t>
  </si>
  <si>
    <t>saldi totali</t>
  </si>
  <si>
    <t>BS.TOT.1</t>
  </si>
  <si>
    <t>BS.TOT.2</t>
  </si>
  <si>
    <t>BS.TOT.3</t>
  </si>
  <si>
    <t>CREDITI DA REGIONE  - ANNI PREGRESSI</t>
  </si>
  <si>
    <t>CREDITI VERSO REGIONE</t>
  </si>
  <si>
    <t>CRED.1</t>
  </si>
  <si>
    <t>CRED.2</t>
  </si>
  <si>
    <t>CRED.3</t>
  </si>
  <si>
    <t>CRED.4</t>
  </si>
  <si>
    <t>CRED.5</t>
  </si>
  <si>
    <t>CRED.6</t>
  </si>
  <si>
    <t>CRED.7</t>
  </si>
  <si>
    <t>CRED.TOT.1</t>
  </si>
  <si>
    <t>TOTALE ATS</t>
  </si>
  <si>
    <t>PER CREDITI CORRENTI  - DA REGIONE</t>
  </si>
  <si>
    <t>TOTALE CREDITI CORRENTI</t>
  </si>
  <si>
    <t>CRED.RL.1</t>
  </si>
  <si>
    <t>CRED.RL.2</t>
  </si>
  <si>
    <t>CRED.RL.3</t>
  </si>
  <si>
    <t>CRED.RL.4</t>
  </si>
  <si>
    <t>CRED.RL.5</t>
  </si>
  <si>
    <t>CRED.RL.6</t>
  </si>
  <si>
    <t>CRED.RL.7</t>
  </si>
  <si>
    <t>CRED.RL.8</t>
  </si>
  <si>
    <t>CRED.RL.9</t>
  </si>
  <si>
    <t>CRED.RL.10</t>
  </si>
  <si>
    <t>CRED.RL.11</t>
  </si>
  <si>
    <t>CRED.RL.12</t>
  </si>
  <si>
    <t>CRED.RL.13</t>
  </si>
  <si>
    <t>CRED.RL.14</t>
  </si>
  <si>
    <t>CRED.RL.15</t>
  </si>
  <si>
    <t>CRED.RL.16</t>
  </si>
  <si>
    <t>CRED.RL.17</t>
  </si>
  <si>
    <t>CRED.RL.18</t>
  </si>
  <si>
    <t>CRED.RL.19</t>
  </si>
  <si>
    <t>CRED.RL.20</t>
  </si>
  <si>
    <t>CRED.RL.21</t>
  </si>
  <si>
    <t>CRED.RL.22</t>
  </si>
  <si>
    <t>CRED.RL.23</t>
  </si>
  <si>
    <t>CRED.RL.24</t>
  </si>
  <si>
    <t>CRED.RL.25</t>
  </si>
  <si>
    <t>CRED.RL.26</t>
  </si>
  <si>
    <t>CRED.RL.27</t>
  </si>
  <si>
    <t>CRED.RL.28</t>
  </si>
  <si>
    <t>CRED.RL.29</t>
  </si>
  <si>
    <t>CRED.RL.30</t>
  </si>
  <si>
    <t>CRED.RL.31</t>
  </si>
  <si>
    <t>CRED.RL.32</t>
  </si>
  <si>
    <t>CRED.RL.33</t>
  </si>
  <si>
    <t>CRED.RL.34</t>
  </si>
  <si>
    <t>CRED.RL.35</t>
  </si>
  <si>
    <t>CRED.RL.36</t>
  </si>
  <si>
    <t>CRED.RL.37</t>
  </si>
  <si>
    <t>CRED.RL.38</t>
  </si>
  <si>
    <t>CRED.RL.39</t>
  </si>
  <si>
    <t>CRED.RL.40</t>
  </si>
  <si>
    <t>CRED.RL.41</t>
  </si>
  <si>
    <t>CRED.RL.42</t>
  </si>
  <si>
    <t>CRED.RL.43</t>
  </si>
  <si>
    <t>CRED.RL.44</t>
  </si>
  <si>
    <t>CRED.RL.45</t>
  </si>
  <si>
    <t>CRED.RL.46</t>
  </si>
  <si>
    <t>CRED.RL.47</t>
  </si>
  <si>
    <t>CRED.RL.48</t>
  </si>
  <si>
    <t>CRED.RL.49</t>
  </si>
  <si>
    <t>CRED.RL.50</t>
  </si>
  <si>
    <t>CRED.RL.51</t>
  </si>
  <si>
    <t>CRED.RL.52</t>
  </si>
  <si>
    <t>CRED.RL.53</t>
  </si>
  <si>
    <t>CRED.RL.54</t>
  </si>
  <si>
    <t>CRED.RL.55</t>
  </si>
  <si>
    <t>CRED.RL.56</t>
  </si>
  <si>
    <t>CRED.RL.57</t>
  </si>
  <si>
    <t>CRED.RL.58</t>
  </si>
  <si>
    <t>CRED.RL.59</t>
  </si>
  <si>
    <t>CRED.RL.60</t>
  </si>
  <si>
    <t>CRED.RL.61</t>
  </si>
  <si>
    <t>CRED.RL.62</t>
  </si>
  <si>
    <t>CRED.RL.63</t>
  </si>
  <si>
    <t>CRED.RL.64</t>
  </si>
  <si>
    <t>PER CREDITI CONTO CAPITALE  - DA REGIONE</t>
  </si>
  <si>
    <t>TOTALE CREDITI C.CAPITALE</t>
  </si>
  <si>
    <t>CRED.RL.65</t>
  </si>
  <si>
    <t xml:space="preserve"> - finanziamenti pe investimenti da Regione (specificare DGR/atto di assegnazione*)</t>
  </si>
  <si>
    <t>CRED.RL.66</t>
  </si>
  <si>
    <t>CRED.RL.67</t>
  </si>
  <si>
    <t>CRED.RL.68</t>
  </si>
  <si>
    <t>CRED.RL.69</t>
  </si>
  <si>
    <t>CRED.RL.70</t>
  </si>
  <si>
    <t>CRED.RL.71</t>
  </si>
  <si>
    <t>CRED.RL.72</t>
  </si>
  <si>
    <t>CRED.RL.73</t>
  </si>
  <si>
    <t>CRED.RL.74</t>
  </si>
  <si>
    <t>CRED.RL.75</t>
  </si>
  <si>
    <t>CRED.RL.76</t>
  </si>
  <si>
    <t>CRED.RL.77</t>
  </si>
  <si>
    <t>CRED.RL.78</t>
  </si>
  <si>
    <t>CRED.RL.79</t>
  </si>
  <si>
    <t>CRED.RL.80</t>
  </si>
  <si>
    <t>CRED.RL.81</t>
  </si>
  <si>
    <t>CRED.RL.82</t>
  </si>
  <si>
    <t>CRED.RL.83</t>
  </si>
  <si>
    <t>CRED.RL.84</t>
  </si>
  <si>
    <t>CRED.RL.85</t>
  </si>
  <si>
    <t>CRED.RL.TOT1</t>
  </si>
  <si>
    <t>TOTALE CREDITI PREGRESSI</t>
  </si>
  <si>
    <t>* IN QUADRATURA CON IL PIANO INVESTIMENTI APPROVATO</t>
  </si>
  <si>
    <t>LEGENDA ERRORI CONTROLLO SQUADRATURE</t>
  </si>
  <si>
    <t>(*) per approfondimenti vedasi la relativa circolare di Regione Lombardia</t>
  </si>
  <si>
    <t>COD.</t>
  </si>
  <si>
    <t>DESCRIZIONE(*)</t>
  </si>
  <si>
    <t>il Totale Finanziato da Regione Lombardia, deve essere uguale al Totale Assegnato (sezionale TER)</t>
  </si>
  <si>
    <t>il Totale Finanziato dalle ATS (Polo Ospedaliero e Altro), deve essere uguale al Totale dei Ricavi di Produzione Assegnati</t>
  </si>
  <si>
    <t>l'Importo Finanziato da ATS (Rete Territoriale) a Gestione Centralizzata, deve essere uguale all'Assegnazione Doppio Canale - tip. 13</t>
  </si>
  <si>
    <t>CODICE</t>
  </si>
  <si>
    <t>ENTE_RIF</t>
  </si>
  <si>
    <t>ENTE_ASSOC</t>
  </si>
  <si>
    <t>LR23_EX1_702</t>
  </si>
  <si>
    <t>970</t>
  </si>
  <si>
    <t>970 - A.O. S.PAOLO - MILANO</t>
  </si>
  <si>
    <t>LR23_EX2_702</t>
  </si>
  <si>
    <t>972</t>
  </si>
  <si>
    <t>972 - A.O. S.CARLO BORROMEO - MILANO</t>
  </si>
  <si>
    <t>COD_CERCA</t>
  </si>
  <si>
    <t>TAB</t>
  </si>
  <si>
    <t>CODENTE</t>
  </si>
  <si>
    <t>VAL1</t>
  </si>
  <si>
    <t>VAL2</t>
  </si>
  <si>
    <t>VAL3</t>
  </si>
  <si>
    <t>VAL4</t>
  </si>
  <si>
    <t>TAB1_702_ASSEGN.CR.1</t>
  </si>
  <si>
    <t>TAB1</t>
  </si>
  <si>
    <t>TAB1_702_ASSEGN.CR.10</t>
  </si>
  <si>
    <t>TAB1_702_ASSEGN.CR.11</t>
  </si>
  <si>
    <t>TAB1_702_ASSEGN.CR.12</t>
  </si>
  <si>
    <t>TAB1_702_ASSEGN.CR.13</t>
  </si>
  <si>
    <t>TAB1_702_ASSEGN.CR.14</t>
  </si>
  <si>
    <t>TAB1_702_ASSEGN.CR.141</t>
  </si>
  <si>
    <t>TAB1_702_ASSEGN.CR.142</t>
  </si>
  <si>
    <t>TAB1_702_ASSEGN.CR.15</t>
  </si>
  <si>
    <t>TAB1_702_ASSEGN.CR.16</t>
  </si>
  <si>
    <t>TAB1_702_ASSEGN.CR.17</t>
  </si>
  <si>
    <t>TAB1_702_ASSEGN.CR.18</t>
  </si>
  <si>
    <t>TAB1_702_ASSEGN.CR.19</t>
  </si>
  <si>
    <t>TAB1_702_ASSEGN.CR.2</t>
  </si>
  <si>
    <t>TAB1_702_ASSEGN.CR.20</t>
  </si>
  <si>
    <t>TAB1_702_ASSEGN.CR.21</t>
  </si>
  <si>
    <t>TAB1_702_ASSEGN.CR.26</t>
  </si>
  <si>
    <t>TAB1_702_ASSEGN.CR.3</t>
  </si>
  <si>
    <t>TAB1_702_ASSEGN.CR.4</t>
  </si>
  <si>
    <t>TAB1_702_ASSEGN.CR.5</t>
  </si>
  <si>
    <t>TAB1_702_ASSEGN.CR.6</t>
  </si>
  <si>
    <t>TAB1_702_ASSEGN.CR.7</t>
  </si>
  <si>
    <t>TAB1_702_ASSEGN.CR.8</t>
  </si>
  <si>
    <t>TAB1_702_ASSEGN.CR.9</t>
  </si>
  <si>
    <t>VAL5</t>
  </si>
  <si>
    <t>VAL6</t>
  </si>
  <si>
    <t>702_A1TOT_1</t>
  </si>
  <si>
    <t>A1TOT_1</t>
  </si>
  <si>
    <t>702_AOIR14_1</t>
  </si>
  <si>
    <t>AOIR14_1</t>
  </si>
  <si>
    <t>702_AOIR02_1</t>
  </si>
  <si>
    <t>AOIR02_1</t>
  </si>
  <si>
    <t>702_AOIR11_1</t>
  </si>
  <si>
    <t>AOIR11_1</t>
  </si>
  <si>
    <t>702_AOIR11_4</t>
  </si>
  <si>
    <t>AOIR11_4</t>
  </si>
  <si>
    <t>702_AOIR11_2</t>
  </si>
  <si>
    <t>AOIR11_2</t>
  </si>
  <si>
    <t>702_AOIR11_3</t>
  </si>
  <si>
    <t>AOIR11_3</t>
  </si>
  <si>
    <t>702_AOIR12_1</t>
  </si>
  <si>
    <t>AOIR12_1</t>
  </si>
  <si>
    <t>702_AOIR06_1</t>
  </si>
  <si>
    <t>AOIR06_1</t>
  </si>
  <si>
    <t>702_AOIR13_1</t>
  </si>
  <si>
    <t>AOIR13_1</t>
  </si>
  <si>
    <t>702_AOIR10_1</t>
  </si>
  <si>
    <t>AOIR10_1</t>
  </si>
  <si>
    <t>702_C8TOT_1</t>
  </si>
  <si>
    <t>C8TOT_1</t>
  </si>
  <si>
    <t>702_AOIR01_1</t>
  </si>
  <si>
    <t>AOIR01_1</t>
  </si>
  <si>
    <t>702_AOIR01_5</t>
  </si>
  <si>
    <t>AOIR01_5</t>
  </si>
  <si>
    <t>702_AOIR01_2</t>
  </si>
  <si>
    <t>AOIR01_2</t>
  </si>
  <si>
    <t>702_AOIR01_3</t>
  </si>
  <si>
    <t>AOIR01_3</t>
  </si>
  <si>
    <t>702_AOIR01_4</t>
  </si>
  <si>
    <t>AOIR01_4</t>
  </si>
  <si>
    <t>702_C9TOT_1</t>
  </si>
  <si>
    <t>C9TOT_1</t>
  </si>
  <si>
    <t>702_AOIR03_1</t>
  </si>
  <si>
    <t>AOIR03_1</t>
  </si>
  <si>
    <t>702_AOIR05_1</t>
  </si>
  <si>
    <t>AOIR05_1</t>
  </si>
  <si>
    <t>702_AOIR03_2</t>
  </si>
  <si>
    <t>AOIR03_2</t>
  </si>
  <si>
    <t>702_AOIR03_3</t>
  </si>
  <si>
    <t>AOIR03_3</t>
  </si>
  <si>
    <t>702_AOIR03_4</t>
  </si>
  <si>
    <t>AOIR03_4</t>
  </si>
  <si>
    <t>702_AOIR04_1</t>
  </si>
  <si>
    <t>AOIR04_1</t>
  </si>
  <si>
    <t>702_AOIR08_1</t>
  </si>
  <si>
    <t>AOIR08_1</t>
  </si>
  <si>
    <t>702_C12TOT_1</t>
  </si>
  <si>
    <t>C12TOT_1</t>
  </si>
  <si>
    <t>702_AOIR09_1</t>
  </si>
  <si>
    <t>AOIR09_1</t>
  </si>
  <si>
    <t>702_AOIR09_4</t>
  </si>
  <si>
    <t>AOIR09_4</t>
  </si>
  <si>
    <t>702_AOIR09_2</t>
  </si>
  <si>
    <t>AOIR09_2</t>
  </si>
  <si>
    <t>702_AOIR09_3</t>
  </si>
  <si>
    <t>AOIR09_3</t>
  </si>
  <si>
    <t>702_C13TOT_1</t>
  </si>
  <si>
    <t>C13TOT_1</t>
  </si>
  <si>
    <t>702_AOIR15_1</t>
  </si>
  <si>
    <t>AOIR15_1</t>
  </si>
  <si>
    <t>702_AOIR15_2</t>
  </si>
  <si>
    <t>AOIR15_2</t>
  </si>
  <si>
    <t>702_AOIR15_3</t>
  </si>
  <si>
    <t>AOIR15_3</t>
  </si>
  <si>
    <t>702_AOIR15_4</t>
  </si>
  <si>
    <t>AOIR15_4</t>
  </si>
  <si>
    <t>702_AOIR15_5</t>
  </si>
  <si>
    <t>AOIR15_5</t>
  </si>
  <si>
    <t>702_AOIR15_6</t>
  </si>
  <si>
    <t>AOIR15_6</t>
  </si>
  <si>
    <t>702_D1TOT_1</t>
  </si>
  <si>
    <t>D1TOT_1</t>
  </si>
  <si>
    <t>702_AOIC01_1</t>
  </si>
  <si>
    <t>AOIC01_1</t>
  </si>
  <si>
    <t>702_ONPERS_1</t>
  </si>
  <si>
    <t>ONPERS_1</t>
  </si>
  <si>
    <t>702_ONCOMP_1</t>
  </si>
  <si>
    <t>ONCOMP_1</t>
  </si>
  <si>
    <t>702_ONDIR_1</t>
  </si>
  <si>
    <t>ONDIR_1</t>
  </si>
  <si>
    <t>702_AOIC02_1</t>
  </si>
  <si>
    <t>AOIC02_1</t>
  </si>
  <si>
    <t>702_AOIC04_1</t>
  </si>
  <si>
    <t>AOIC04_1</t>
  </si>
  <si>
    <t>702_INTPROT_1</t>
  </si>
  <si>
    <t>INTPROT_1</t>
  </si>
  <si>
    <t>702_AOIC06_1</t>
  </si>
  <si>
    <t>AOIC06_1</t>
  </si>
  <si>
    <t>702_AOIC05_1</t>
  </si>
  <si>
    <t>AOIC05_1</t>
  </si>
  <si>
    <t>702_AOIC07_1</t>
  </si>
  <si>
    <t>AOIC07_1</t>
  </si>
  <si>
    <t>702_AOIC08_1</t>
  </si>
  <si>
    <t>AOIC08_1</t>
  </si>
  <si>
    <t>702_ASSIC_1</t>
  </si>
  <si>
    <t>ASSIC_1</t>
  </si>
  <si>
    <t>702_TRIC_NOALP_1</t>
  </si>
  <si>
    <t>TRIC_NOALP_1</t>
  </si>
  <si>
    <t>702_TCOS_NOALP_1</t>
  </si>
  <si>
    <t>TCOS_NOALP_1</t>
  </si>
  <si>
    <t>702_AOIR07_1</t>
  </si>
  <si>
    <t>AOIR07_1</t>
  </si>
  <si>
    <t>702_AOIC03_1</t>
  </si>
  <si>
    <t>AOIC03_1</t>
  </si>
  <si>
    <t>702_AOIR11_R_1</t>
  </si>
  <si>
    <t>AOIR11_R_1</t>
  </si>
  <si>
    <t>702_AOIR12_R_1</t>
  </si>
  <si>
    <t>AOIR12_R_1</t>
  </si>
  <si>
    <t>702_TOTRIC_1</t>
  </si>
  <si>
    <t>TOTRIC_1</t>
  </si>
  <si>
    <t>702_TOTCOS_1</t>
  </si>
  <si>
    <t>TOTCOS_1</t>
  </si>
  <si>
    <t>702_RISES_1</t>
  </si>
  <si>
    <t>RISES_1</t>
  </si>
  <si>
    <t>702_ASSIC_2</t>
  </si>
  <si>
    <t>ASSIC_2</t>
  </si>
  <si>
    <t>702_ASSIC_3</t>
  </si>
  <si>
    <t>ASSIC_3</t>
  </si>
  <si>
    <t>NOTA</t>
  </si>
  <si>
    <t>702_NOTA0_1</t>
  </si>
  <si>
    <t>NOTA0_1</t>
  </si>
  <si>
    <t>Il seguente importo pari a Euro 3.794 ('000) è vincolato al conto 4.20.10.20.010.030.10.000 ASSICURAZIONI: Premi per R.C. Professionale</t>
  </si>
  <si>
    <t>702_NOTA1_1</t>
  </si>
  <si>
    <t>NOTA1_1</t>
  </si>
  <si>
    <t>L'importo da vincolare in accantonamento per rischi assicurativi è pari a 2,674 milioni €</t>
  </si>
  <si>
    <t>702_NOTA5_1</t>
  </si>
  <si>
    <t>NOTA5_1</t>
  </si>
  <si>
    <t>La voce beni e serivizi include: costi per file F, HCV, doppio canale e primo ciclo, lordi, pari a 45.692 (000) €</t>
  </si>
  <si>
    <t>702_NOTA6_1</t>
  </si>
  <si>
    <t>NOTA6_1</t>
  </si>
  <si>
    <t>La voce accantonamenti include la riclassificazione di 360 (000) € effettuata dalla voce Libera Professione, per le quote accanonate per la Legge Balduzzi e per il fondo di perequazione, sulla base degli importi comunicati dall'Ente.</t>
  </si>
  <si>
    <t>702_NOTA8_1</t>
  </si>
  <si>
    <t>NOTA8_1</t>
  </si>
  <si>
    <t>La voce Beni e Servizi tiene conto della riduzione dei dati "netti" (CONS2015 - IV CET al netto del File F ed assicurazioni)  pari ad € 265 (000)</t>
  </si>
  <si>
    <t>FUNZIONI NON TARIFFATE - ES. 2004,2005,2007,2008,2009,2010,2011,2014,2015</t>
  </si>
  <si>
    <t>OBIETTIVI PSSR - ES. 2005,2008,2009,2010,2011,2012,2014</t>
  </si>
  <si>
    <t>CONTRIBUTO PER ACCANTONAMENTI FRANCHIGIE SIR/ E AUTOASSICURAZIONI ES. 2015</t>
  </si>
  <si>
    <t>CONTRIBUTO PER RIALLINEAMENTO FUNZIONI ANNO 2013 (assegnazione 2015)</t>
  </si>
  <si>
    <t>CONTRIBUTO ATTIVITA' SANITARIA PENITENZIARIA ES. 2014</t>
  </si>
  <si>
    <t>ALTRI CONTRIBUTI - STORICIZZAZIONE ANNI PRECEDENTI (assegnazione 2014)</t>
  </si>
  <si>
    <t>CONTRIBUTO PER RAR PERSONALE 2014 (COMPRESI ONERI E IRAP)</t>
  </si>
  <si>
    <t>CONTRIBUTO PER RIALLINEAMENTO FUNZIONI ES. 2014</t>
  </si>
  <si>
    <t>CONTRIBUTO PER ACCANTONAMENTI FRANCHIGIE SIR/ E AUTOASSICURAZIONI ES. 2014</t>
  </si>
  <si>
    <t>ALTRI CONTRIBUTI DIVERSI 2005/2014</t>
  </si>
  <si>
    <t>SIS 1</t>
  </si>
  <si>
    <t xml:space="preserve">SISTREMA QUALITA' </t>
  </si>
  <si>
    <t>PROGETTO ABBATTIMENTO LISTE D'ATTESA</t>
  </si>
  <si>
    <t>PROGETTO DAMA ES. 2001-2002</t>
  </si>
  <si>
    <t>PIANO URBANO - CALL CENTER ONCOLOGICO</t>
  </si>
  <si>
    <t>PROGETTO "RAZIONALIZZAZIONE PERCORSI DIAGNOSTICO-TERAPEUTICI IN PAZIENTI AFFETTI DA PRECANCEROSI E NEOPLASIE"</t>
  </si>
  <si>
    <t>PROGETTO "STRATEGIE INNOVATIVE PAZIENTI AD ALTO RISCHIO IN TERAPIA INTENSIVA"</t>
  </si>
  <si>
    <t>PROGETTO "MODELLO ORGANIZZATIVO PER ASSISTENZA SANITARIA NEGLI ISTITUTI PENITENZIARI PER ADULTI IN ATTUAZIONE DGR 8120/2008"</t>
  </si>
  <si>
    <t>PROGETTO RICERCA INDIPENDENTE CALL 2011 " CAPIRE PER CURARE APPROCCIO MULTIDISCIPLINARE, CLINICO E DI RICERCA DELLA SCLEROSI TUBEROSA"</t>
  </si>
  <si>
    <t>CORSO FORMAZIONE AIDS L. 135/90  ES. 2012-2013-2014</t>
  </si>
  <si>
    <t>BANDO MINISTERIALE GIOVANI RICERCATORI ANNO 2009: PROGETTO DI RICERCA FINALIZZATA "GR - 2009 - 1592029" ANNO 2012</t>
  </si>
  <si>
    <t>PROGETTO DI RICERCA FINALIZZATA "RF - 2010 - 2319806 CAPNAF - FD" ES. 2013</t>
  </si>
  <si>
    <t>altri contributi ex a.o. san paolo</t>
  </si>
  <si>
    <t>REALIZZAZIONE REPARTO MALATTIVE INFETTIVE - DGR N. 75401 del 09/12/1998</t>
  </si>
  <si>
    <t>ADEGUAMENTO NORMATIVA SICUREZZA - DECRETO N. 20824 del 24/11/2004</t>
  </si>
  <si>
    <t>RISTRUTTURAZIONE P.S., DEA, MEDICINA URGENZA E REALIZZAZIONE NUOVA UNITA' CORONARICA - DGR N. VIII/2472 del 11/05/2006 - DECRETO N. 11045 del 08/10/2008</t>
  </si>
  <si>
    <t>UTILIZZO FONDO DI ROTAZIONE - ADEGUAMENTO NORME PREVENZIONE INCENDIO E ACQUISTO ATTREZZATURE P.S. - DGR N. IX/3683 del 02/07/2012</t>
  </si>
  <si>
    <t>PIANO STRAORDINARIO PER AMMODERNAMENTO PATRIMONIO TECNOLOGICO - DGR N. X/388 del 12/07/2013</t>
  </si>
  <si>
    <t>UTILIZZO FONDI RESI DISPONIBILI DALLA L.R. 18/2012 - DGR N. X/821 del 25/10/2013</t>
  </si>
  <si>
    <t>ADEGUAMENTO NORMATIVA ANTINCENDIO, GAS MEDICALI E MESSA IN SICUREZZA PRESIDIO - DGR N. IX/4739 del 23/01/2013 e DGR N. X/855 del 25/10/2013</t>
  </si>
  <si>
    <t>UTILIZZO FONDI INVESTIMENTO IN MATERIA EDILIZIA SANITARIA - DGR N. X/1521 del 20/03/2014</t>
  </si>
  <si>
    <t>CONTRIBUTO PER APPARECCHIATURE SANITARIE OBSOLETE - DECRETO N. 12686 del 24/12/2014</t>
  </si>
  <si>
    <t>DGR 4189/2015 Fondi investimento eserc. 2015</t>
  </si>
  <si>
    <t xml:space="preserve"> Crediti da Regione per Funzioni non tariffate 2012 - 2015</t>
  </si>
  <si>
    <t xml:space="preserve"> Crediti da Regione per Obiettivi di PSSR 2008 - 2014</t>
  </si>
  <si>
    <t>Crediti v/Regione o Provincia Autonoma per spesa corrente - altro 1998-2015</t>
  </si>
  <si>
    <t>Altri - vedi relazione allegata</t>
  </si>
  <si>
    <t>decreto 2133/2011</t>
  </si>
  <si>
    <t>D.D.G. 5685 del 28/05/2010</t>
  </si>
  <si>
    <t>D.D.G.S. 9329/2011</t>
  </si>
  <si>
    <t>DDG 4509 DEL 28/05/2014</t>
  </si>
  <si>
    <t>dgr 2133/2011</t>
  </si>
  <si>
    <t>DGS 7712 del 14/07/08</t>
  </si>
  <si>
    <t>nota regionale del 23/05/2006</t>
  </si>
  <si>
    <t>DDG 4287 del 16/05/2016</t>
  </si>
  <si>
    <t>Ante 2013</t>
  </si>
  <si>
    <t>Determinazione in ordine all'utilizzo dei fondi residui L.R. 5/2013</t>
  </si>
  <si>
    <t xml:space="preserve"> DGR 1102/2013</t>
  </si>
  <si>
    <t>DGR IX/4860 E DGR 388/2013</t>
  </si>
  <si>
    <t>DGR 2111/2014</t>
  </si>
  <si>
    <t>DGR 1521/2014</t>
  </si>
  <si>
    <t>DGR 2931/2014</t>
  </si>
  <si>
    <t>DGS 7011 DEL 26/08/2015</t>
  </si>
  <si>
    <t>DGR 4189/2015</t>
  </si>
  <si>
    <t>1.20.20.20.000.000.00.000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</si>
</sst>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[$€]\ * #,##0.00_-;\-[$€]\ * #,##0.00_-;_-[$€]\ * &quot;-&quot;??_-;_-@_-"/>
    <numFmt numFmtId="166" formatCode="d/m/yyyy;@"/>
    <numFmt numFmtId="167" formatCode="#,##0_ ;[Red]\-#,##0\ "/>
    <numFmt numFmtId="168" formatCode="_-* #,##0.00_-;\-* #,##0.00_-;_-* \-??_-;_-@_-"/>
    <numFmt numFmtId="169" formatCode="#,##0.00\ ;\-#,##0.00\ ;&quot; -&quot;#\ ;@\ "/>
    <numFmt numFmtId="170" formatCode="_-[$€]\ * #,##0.00_-;\-[$€]\ * #,##0.00_-;_-[$€]\ * \-??_-;_-@_-"/>
    <numFmt numFmtId="171" formatCode="_-&quot;€ &quot;* #,##0.00_-;&quot;-€ &quot;* #,##0.00_-;_-&quot;€ &quot;* \-??_-;_-@_-"/>
    <numFmt numFmtId="172" formatCode="_-[$€-2]\ * #,##0.00_-;\-[$€-2]\ * #,##0.00_-;_-[$€-2]\ * &quot;-&quot;??_-"/>
    <numFmt numFmtId="173" formatCode="[$€]\ #,##0.00\ ;\-[$€]\ #,##0.00\ ;[$€]&quot; -&quot;#\ ;@\ "/>
    <numFmt numFmtId="174" formatCode="_-* #,##0_-;\-* #,##0_-;_-* \-_-;_-@_-"/>
    <numFmt numFmtId="175" formatCode="#,##0\ ;\-#,##0\ ;&quot; - &quot;;@\ "/>
    <numFmt numFmtId="176" formatCode="_-&quot;L.&quot;\ * #,##0.00_-;\-&quot;L.&quot;\ * #,##0.00_-;_-&quot;L.&quot;\ * &quot;-&quot;??_-;_-@_-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i/>
      <sz val="20"/>
      <color indexed="8"/>
      <name val="Calibri"/>
      <family val="2"/>
    </font>
    <font>
      <sz val="14"/>
      <name val="Calibri"/>
      <family val="2"/>
    </font>
    <font>
      <sz val="10"/>
      <name val="MS Sans Serif"/>
      <family val="2"/>
    </font>
    <font>
      <sz val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angal"/>
      <family val="2"/>
    </font>
    <font>
      <sz val="12"/>
      <color indexed="8"/>
      <name val="Arial Narrow"/>
      <family val="2"/>
    </font>
    <font>
      <sz val="11"/>
      <color indexed="8"/>
      <name val="Verdana"/>
      <family val="2"/>
    </font>
    <font>
      <u val="single"/>
      <sz val="10"/>
      <name val="Mang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sz val="11"/>
      <color indexed="5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4"/>
      <color indexed="62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20"/>
      <color indexed="62"/>
      <name val="Calibri"/>
      <family val="2"/>
    </font>
    <font>
      <b/>
      <sz val="20"/>
      <color indexed="62"/>
      <name val="Calibri"/>
      <family val="2"/>
    </font>
    <font>
      <b/>
      <i/>
      <sz val="20"/>
      <color indexed="62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4"/>
      <name val="Calibri"/>
      <family val="2"/>
    </font>
    <font>
      <sz val="20"/>
      <color indexed="10"/>
      <name val="Calibri"/>
      <family val="2"/>
    </font>
    <font>
      <sz val="20"/>
      <name val="Calibri"/>
      <family val="2"/>
    </font>
    <font>
      <b/>
      <sz val="18"/>
      <color indexed="8"/>
      <name val="Calibri"/>
      <family val="2"/>
    </font>
    <font>
      <i/>
      <sz val="20"/>
      <name val="Calibri"/>
      <family val="2"/>
    </font>
    <font>
      <sz val="15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9"/>
      <name val="Calibri"/>
      <family val="2"/>
    </font>
    <font>
      <b/>
      <sz val="10"/>
      <name val="Calibri"/>
      <family val="2"/>
    </font>
    <font>
      <sz val="20"/>
      <color indexed="9"/>
      <name val="Calibri"/>
      <family val="2"/>
    </font>
    <font>
      <sz val="14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4"/>
      <name val="Calibri"/>
      <family val="2"/>
    </font>
    <font>
      <sz val="20"/>
      <color theme="1"/>
      <name val="Calibri"/>
      <family val="2"/>
    </font>
    <font>
      <b/>
      <sz val="20"/>
      <color theme="0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i/>
      <sz val="12"/>
      <color theme="1"/>
      <name val="Calibri"/>
      <family val="2"/>
    </font>
    <font>
      <sz val="20"/>
      <color theme="3" tint="0.39998000860214233"/>
      <name val="Calibri"/>
      <family val="2"/>
    </font>
    <font>
      <b/>
      <sz val="20"/>
      <color theme="4"/>
      <name val="Calibri"/>
      <family val="2"/>
    </font>
    <font>
      <b/>
      <i/>
      <sz val="20"/>
      <color theme="4"/>
      <name val="Calibri"/>
      <family val="2"/>
    </font>
    <font>
      <b/>
      <sz val="14"/>
      <color theme="0"/>
      <name val="Calibri"/>
      <family val="2"/>
    </font>
    <font>
      <b/>
      <i/>
      <sz val="14"/>
      <color theme="1"/>
      <name val="Calibri"/>
      <family val="2"/>
    </font>
    <font>
      <sz val="20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theme="4" tint="-0.24997000396251678"/>
      <name val="Calibri"/>
      <family val="2"/>
    </font>
    <font>
      <b/>
      <sz val="20"/>
      <color theme="4" tint="-0.24997000396251678"/>
      <name val="Calibri"/>
      <family val="2"/>
    </font>
    <font>
      <sz val="15"/>
      <color theme="1"/>
      <name val="Calibri"/>
      <family val="2"/>
    </font>
    <font>
      <sz val="12"/>
      <color theme="0"/>
      <name val="Calibri"/>
      <family val="2"/>
    </font>
    <font>
      <sz val="20"/>
      <color theme="0"/>
      <name val="Calibri"/>
      <family val="2"/>
    </font>
    <font>
      <sz val="14"/>
      <color theme="0"/>
      <name val="Calibri"/>
      <family val="2"/>
    </font>
  </fonts>
  <fills count="8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 style="hair"/>
      <bottom/>
    </border>
    <border>
      <left/>
      <right/>
      <top style="thin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/>
      <bottom style="medium"/>
    </border>
    <border>
      <left/>
      <right style="hair"/>
      <top/>
      <bottom/>
    </border>
    <border>
      <left/>
      <right/>
      <top style="hair"/>
      <bottom/>
    </border>
    <border>
      <left style="hair"/>
      <right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</borders>
  <cellStyleXfs count="16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0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76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76" fillId="37" borderId="0" applyNumberFormat="0" applyBorder="0" applyAlignment="0" applyProtection="0"/>
    <xf numFmtId="0" fontId="15" fillId="25" borderId="0" applyNumberFormat="0" applyBorder="0" applyAlignment="0" applyProtection="0"/>
    <xf numFmtId="0" fontId="76" fillId="38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76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23" borderId="0" applyNumberFormat="0" applyBorder="0" applyAlignment="0" applyProtection="0"/>
    <xf numFmtId="0" fontId="76" fillId="42" borderId="0" applyNumberFormat="0" applyBorder="0" applyAlignment="0" applyProtection="0"/>
    <xf numFmtId="0" fontId="15" fillId="43" borderId="0" applyNumberFormat="0" applyBorder="0" applyAlignment="0" applyProtection="0"/>
    <xf numFmtId="0" fontId="76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9" borderId="0" applyNumberFormat="0" applyBorder="0" applyAlignment="0" applyProtection="0"/>
    <xf numFmtId="0" fontId="77" fillId="47" borderId="1" applyNumberFormat="0" applyAlignment="0" applyProtection="0"/>
    <xf numFmtId="0" fontId="16" fillId="48" borderId="2" applyNumberFormat="0" applyAlignment="0" applyProtection="0"/>
    <xf numFmtId="0" fontId="16" fillId="5" borderId="3" applyNumberFormat="0" applyAlignment="0" applyProtection="0"/>
    <xf numFmtId="0" fontId="78" fillId="0" borderId="4" applyNumberFormat="0" applyFill="0" applyAlignment="0" applyProtection="0"/>
    <xf numFmtId="0" fontId="17" fillId="0" borderId="5" applyNumberFormat="0" applyFill="0" applyAlignment="0" applyProtection="0"/>
    <xf numFmtId="0" fontId="79" fillId="49" borderId="6" applyNumberFormat="0" applyAlignment="0" applyProtection="0"/>
    <xf numFmtId="0" fontId="18" fillId="50" borderId="7" applyNumberFormat="0" applyAlignment="0" applyProtection="0"/>
    <xf numFmtId="0" fontId="76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36" borderId="0" applyNumberFormat="0" applyBorder="0" applyAlignment="0" applyProtection="0"/>
    <xf numFmtId="0" fontId="76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76" fillId="57" borderId="0" applyNumberFormat="0" applyBorder="0" applyAlignment="0" applyProtection="0"/>
    <xf numFmtId="0" fontId="15" fillId="58" borderId="0" applyNumberFormat="0" applyBorder="0" applyAlignment="0" applyProtection="0"/>
    <xf numFmtId="0" fontId="76" fillId="59" borderId="0" applyNumberFormat="0" applyBorder="0" applyAlignment="0" applyProtection="0"/>
    <xf numFmtId="0" fontId="15" fillId="40" borderId="0" applyNumberFormat="0" applyBorder="0" applyAlignment="0" applyProtection="0"/>
    <xf numFmtId="0" fontId="15" fillId="60" borderId="0" applyNumberFormat="0" applyBorder="0" applyAlignment="0" applyProtection="0"/>
    <xf numFmtId="0" fontId="76" fillId="61" borderId="0" applyNumberFormat="0" applyBorder="0" applyAlignment="0" applyProtection="0"/>
    <xf numFmtId="0" fontId="15" fillId="43" borderId="0" applyNumberFormat="0" applyBorder="0" applyAlignment="0" applyProtection="0"/>
    <xf numFmtId="0" fontId="76" fillId="62" borderId="0" applyNumberFormat="0" applyBorder="0" applyAlignment="0" applyProtection="0"/>
    <xf numFmtId="0" fontId="15" fillId="63" borderId="0" applyNumberFormat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30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9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65" fontId="2" fillId="0" borderId="0" applyFont="0" applyFill="0" applyBorder="0" applyAlignment="0" applyProtection="0"/>
    <xf numFmtId="170" fontId="1" fillId="0" borderId="0" applyFill="0" applyBorder="0" applyAlignment="0" applyProtection="0"/>
    <xf numFmtId="171" fontId="2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ill="0" applyBorder="0" applyAlignment="0" applyProtection="0"/>
    <xf numFmtId="173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30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1" fillId="0" borderId="0" applyFill="0" applyBorder="0" applyAlignment="0" applyProtection="0"/>
    <xf numFmtId="170" fontId="2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65" fontId="2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2" fontId="2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64" borderId="1" applyNumberFormat="0" applyAlignment="0" applyProtection="0"/>
    <xf numFmtId="0" fontId="19" fillId="20" borderId="2" applyNumberFormat="0" applyAlignment="0" applyProtection="0"/>
    <xf numFmtId="0" fontId="19" fillId="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>
      <alignment/>
      <protection/>
    </xf>
    <xf numFmtId="174" fontId="1" fillId="0" borderId="0">
      <alignment/>
      <protection/>
    </xf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30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>
      <alignment/>
      <protection/>
    </xf>
    <xf numFmtId="174" fontId="1" fillId="0" borderId="0">
      <alignment/>
      <protection/>
    </xf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5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41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>
      <alignment/>
      <protection/>
    </xf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30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5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41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1" fontId="2" fillId="0" borderId="0" applyFont="0" applyFill="0" applyBorder="0" applyAlignment="0" applyProtection="0"/>
    <xf numFmtId="174" fontId="30" fillId="0" borderId="0" applyFill="0" applyBorder="0" applyAlignment="0" applyProtection="0"/>
    <xf numFmtId="174" fontId="30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5" fontId="2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5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1" fontId="2" fillId="0" borderId="0" applyFont="0" applyFill="0" applyBorder="0" applyAlignment="0" applyProtection="0"/>
    <xf numFmtId="174" fontId="30" fillId="0" borderId="0" applyFill="0" applyBorder="0" applyAlignment="0" applyProtection="0"/>
    <xf numFmtId="174" fontId="30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5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1" fillId="0" borderId="0">
      <alignment/>
      <protection/>
    </xf>
    <xf numFmtId="174" fontId="1" fillId="0" borderId="0">
      <alignment/>
      <protection/>
    </xf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>
      <alignment/>
      <protection/>
    </xf>
    <xf numFmtId="174" fontId="1" fillId="0" borderId="0">
      <alignment/>
      <protection/>
    </xf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30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5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2" fillId="0" borderId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168" fontId="30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30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169" fontId="1" fillId="0" borderId="0">
      <alignment/>
      <protection/>
    </xf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30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9" fontId="2" fillId="0" borderId="0" applyFill="0" applyBorder="0" applyAlignment="0" applyProtection="0"/>
    <xf numFmtId="43" fontId="31" fillId="0" borderId="0" applyFont="0" applyFill="0" applyBorder="0" applyAlignment="0" applyProtection="0"/>
    <xf numFmtId="168" fontId="2" fillId="0" borderId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31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43" fontId="2" fillId="0" borderId="0" applyFont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30" fillId="0" borderId="0" applyFill="0" applyBorder="0" applyAlignment="0" applyProtection="0"/>
    <xf numFmtId="168" fontId="2" fillId="0" borderId="0" applyFill="0" applyBorder="0" applyAlignment="0" applyProtection="0"/>
    <xf numFmtId="168" fontId="1" fillId="0" borderId="0">
      <alignment/>
      <protection/>
    </xf>
    <xf numFmtId="168" fontId="1" fillId="0" borderId="0">
      <alignment/>
      <protection/>
    </xf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>
      <alignment/>
      <protection/>
    </xf>
    <xf numFmtId="168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1" fillId="0" borderId="0">
      <alignment/>
      <protection/>
    </xf>
    <xf numFmtId="168" fontId="1" fillId="0" borderId="0">
      <alignment/>
      <protection/>
    </xf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>
      <alignment/>
      <protection/>
    </xf>
    <xf numFmtId="168" fontId="1" fillId="0" borderId="0">
      <alignment/>
      <protection/>
    </xf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>
      <alignment/>
      <protection/>
    </xf>
    <xf numFmtId="168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>
      <alignment/>
      <protection/>
    </xf>
    <xf numFmtId="168" fontId="1" fillId="0" borderId="0">
      <alignment/>
      <protection/>
    </xf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81" fillId="65" borderId="0" applyNumberFormat="0" applyBorder="0" applyAlignment="0" applyProtection="0"/>
    <xf numFmtId="0" fontId="20" fillId="6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67" borderId="8" applyNumberFormat="0" applyFont="0" applyAlignment="0" applyProtection="0"/>
    <xf numFmtId="0" fontId="2" fillId="68" borderId="9" applyNumberForma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82" fillId="47" borderId="10" applyNumberFormat="0" applyAlignment="0" applyProtection="0"/>
    <xf numFmtId="0" fontId="21" fillId="48" borderId="11" applyNumberFormat="0" applyAlignment="0" applyProtection="0"/>
    <xf numFmtId="0" fontId="21" fillId="5" borderId="1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1" fillId="48" borderId="12">
      <alignment/>
      <protection/>
    </xf>
    <xf numFmtId="0" fontId="1" fillId="48" borderId="12">
      <alignment/>
      <protection/>
    </xf>
    <xf numFmtId="0" fontId="1" fillId="48" borderId="12">
      <alignment/>
      <protection/>
    </xf>
    <xf numFmtId="0" fontId="1" fillId="48" borderId="12">
      <alignment/>
      <protection/>
    </xf>
    <xf numFmtId="0" fontId="1" fillId="48" borderId="12">
      <alignment/>
      <protection/>
    </xf>
    <xf numFmtId="0" fontId="1" fillId="69" borderId="12">
      <alignment/>
      <protection/>
    </xf>
    <xf numFmtId="0" fontId="1" fillId="69" borderId="12">
      <alignment/>
      <protection/>
    </xf>
    <xf numFmtId="0" fontId="1" fillId="69" borderId="12">
      <alignment/>
      <protection/>
    </xf>
    <xf numFmtId="0" fontId="1" fillId="69" borderId="12">
      <alignment/>
      <protection/>
    </xf>
    <xf numFmtId="0" fontId="1" fillId="69" borderId="12">
      <alignment/>
      <protection/>
    </xf>
    <xf numFmtId="49" fontId="34" fillId="22" borderId="13">
      <alignment horizontal="center"/>
      <protection/>
    </xf>
    <xf numFmtId="49" fontId="34" fillId="22" borderId="13">
      <alignment horizontal="center"/>
      <protection/>
    </xf>
    <xf numFmtId="49" fontId="2" fillId="22" borderId="13">
      <alignment horizontal="center"/>
      <protection/>
    </xf>
    <xf numFmtId="49" fontId="2" fillId="22" borderId="13">
      <alignment horizontal="center"/>
      <protection/>
    </xf>
    <xf numFmtId="49" fontId="35" fillId="0" borderId="0">
      <alignment/>
      <protection/>
    </xf>
    <xf numFmtId="49" fontId="35" fillId="0" borderId="0">
      <alignment/>
      <protection/>
    </xf>
    <xf numFmtId="0" fontId="1" fillId="25" borderId="12">
      <alignment/>
      <protection/>
    </xf>
    <xf numFmtId="0" fontId="1" fillId="25" borderId="12">
      <alignment/>
      <protection/>
    </xf>
    <xf numFmtId="0" fontId="1" fillId="25" borderId="12">
      <alignment/>
      <protection/>
    </xf>
    <xf numFmtId="0" fontId="1" fillId="25" borderId="12">
      <alignment/>
      <protection/>
    </xf>
    <xf numFmtId="0" fontId="1" fillId="25" borderId="12">
      <alignment/>
      <protection/>
    </xf>
    <xf numFmtId="0" fontId="1" fillId="48" borderId="12">
      <alignment/>
      <protection/>
    </xf>
    <xf numFmtId="0" fontId="1" fillId="48" borderId="12">
      <alignment/>
      <protection/>
    </xf>
    <xf numFmtId="0" fontId="1" fillId="48" borderId="12">
      <alignment/>
      <protection/>
    </xf>
    <xf numFmtId="0" fontId="1" fillId="48" borderId="12">
      <alignment/>
      <protection/>
    </xf>
    <xf numFmtId="0" fontId="1" fillId="48" borderId="12">
      <alignment/>
      <protection/>
    </xf>
    <xf numFmtId="0" fontId="1" fillId="15" borderId="12">
      <alignment/>
      <protection/>
    </xf>
    <xf numFmtId="0" fontId="1" fillId="15" borderId="12">
      <alignment/>
      <protection/>
    </xf>
    <xf numFmtId="0" fontId="1" fillId="15" borderId="12">
      <alignment/>
      <protection/>
    </xf>
    <xf numFmtId="0" fontId="1" fillId="15" borderId="12">
      <alignment/>
      <protection/>
    </xf>
    <xf numFmtId="0" fontId="1" fillId="15" borderId="12">
      <alignment/>
      <protection/>
    </xf>
    <xf numFmtId="0" fontId="1" fillId="48" borderId="12">
      <alignment/>
      <protection/>
    </xf>
    <xf numFmtId="0" fontId="1" fillId="48" borderId="12">
      <alignment/>
      <protection/>
    </xf>
    <xf numFmtId="0" fontId="1" fillId="48" borderId="12">
      <alignment/>
      <protection/>
    </xf>
    <xf numFmtId="0" fontId="1" fillId="48" borderId="12">
      <alignment/>
      <protection/>
    </xf>
    <xf numFmtId="0" fontId="1" fillId="48" borderId="12">
      <alignment/>
      <protection/>
    </xf>
    <xf numFmtId="0" fontId="1" fillId="69" borderId="12">
      <alignment/>
      <protection/>
    </xf>
    <xf numFmtId="0" fontId="1" fillId="69" borderId="12">
      <alignment/>
      <protection/>
    </xf>
    <xf numFmtId="0" fontId="1" fillId="69" borderId="12">
      <alignment/>
      <protection/>
    </xf>
    <xf numFmtId="0" fontId="1" fillId="69" borderId="12">
      <alignment/>
      <protection/>
    </xf>
    <xf numFmtId="0" fontId="1" fillId="69" borderId="12">
      <alignment/>
      <protection/>
    </xf>
    <xf numFmtId="49" fontId="34" fillId="70" borderId="13">
      <alignment vertical="center"/>
      <protection/>
    </xf>
    <xf numFmtId="49" fontId="34" fillId="71" borderId="13">
      <alignment vertical="center"/>
      <protection/>
    </xf>
    <xf numFmtId="49" fontId="34" fillId="22" borderId="13">
      <alignment vertical="center"/>
      <protection/>
    </xf>
    <xf numFmtId="49" fontId="34" fillId="70" borderId="13">
      <alignment vertical="center"/>
      <protection/>
    </xf>
    <xf numFmtId="49" fontId="34" fillId="72" borderId="13">
      <alignment vertical="center"/>
      <protection/>
    </xf>
    <xf numFmtId="49" fontId="34" fillId="72" borderId="13">
      <alignment vertical="center"/>
      <protection/>
    </xf>
    <xf numFmtId="49" fontId="34" fillId="71" borderId="13">
      <alignment vertical="center"/>
      <protection/>
    </xf>
    <xf numFmtId="49" fontId="34" fillId="22" borderId="13">
      <alignment vertical="center"/>
      <protection/>
    </xf>
    <xf numFmtId="49" fontId="34" fillId="22" borderId="13">
      <alignment vertical="center"/>
      <protection/>
    </xf>
    <xf numFmtId="49" fontId="34" fillId="70" borderId="13">
      <alignment vertical="center"/>
      <protection/>
    </xf>
    <xf numFmtId="49" fontId="34" fillId="71" borderId="13">
      <alignment vertical="center"/>
      <protection/>
    </xf>
    <xf numFmtId="49" fontId="34" fillId="71" borderId="13">
      <alignment vertical="center"/>
      <protection/>
    </xf>
    <xf numFmtId="49" fontId="34" fillId="70" borderId="13">
      <alignment vertical="center"/>
      <protection/>
    </xf>
    <xf numFmtId="49" fontId="2" fillId="73" borderId="13">
      <alignment vertical="center"/>
      <protection/>
    </xf>
    <xf numFmtId="49" fontId="2" fillId="69" borderId="13">
      <alignment vertical="center"/>
      <protection/>
    </xf>
    <xf numFmtId="49" fontId="2" fillId="22" borderId="13">
      <alignment vertical="center"/>
      <protection/>
    </xf>
    <xf numFmtId="49" fontId="2" fillId="73" borderId="13">
      <alignment vertical="center"/>
      <protection/>
    </xf>
    <xf numFmtId="49" fontId="2" fillId="69" borderId="13">
      <alignment vertical="center"/>
      <protection/>
    </xf>
    <xf numFmtId="49" fontId="2" fillId="22" borderId="13">
      <alignment vertical="center"/>
      <protection/>
    </xf>
    <xf numFmtId="49" fontId="2" fillId="22" borderId="13">
      <alignment vertical="center"/>
      <protection/>
    </xf>
    <xf numFmtId="49" fontId="2" fillId="69" borderId="13">
      <alignment vertical="center"/>
      <protection/>
    </xf>
    <xf numFmtId="49" fontId="2" fillId="69" borderId="13">
      <alignment vertical="center"/>
      <protection/>
    </xf>
    <xf numFmtId="49" fontId="2" fillId="69" borderId="13">
      <alignment vertical="center"/>
      <protection/>
    </xf>
    <xf numFmtId="49" fontId="2" fillId="73" borderId="13">
      <alignment vertical="center"/>
      <protection/>
    </xf>
    <xf numFmtId="49" fontId="2" fillId="73" borderId="13">
      <alignment vertical="center"/>
      <protection/>
    </xf>
    <xf numFmtId="49" fontId="2" fillId="0" borderId="0">
      <alignment horizontal="right"/>
      <protection/>
    </xf>
    <xf numFmtId="49" fontId="2" fillId="0" borderId="0">
      <alignment horizontal="right"/>
      <protection/>
    </xf>
    <xf numFmtId="0" fontId="1" fillId="11" borderId="12">
      <alignment/>
      <protection/>
    </xf>
    <xf numFmtId="0" fontId="1" fillId="11" borderId="12">
      <alignment/>
      <protection/>
    </xf>
    <xf numFmtId="0" fontId="1" fillId="11" borderId="12">
      <alignment/>
      <protection/>
    </xf>
    <xf numFmtId="0" fontId="1" fillId="11" borderId="12">
      <alignment/>
      <protection/>
    </xf>
    <xf numFmtId="0" fontId="1" fillId="11" borderId="12">
      <alignment/>
      <protection/>
    </xf>
    <xf numFmtId="0" fontId="1" fillId="66" borderId="12">
      <alignment/>
      <protection/>
    </xf>
    <xf numFmtId="0" fontId="1" fillId="66" borderId="12">
      <alignment/>
      <protection/>
    </xf>
    <xf numFmtId="0" fontId="1" fillId="66" borderId="12">
      <alignment/>
      <protection/>
    </xf>
    <xf numFmtId="0" fontId="1" fillId="66" borderId="12">
      <alignment/>
      <protection/>
    </xf>
    <xf numFmtId="0" fontId="1" fillId="66" borderId="12">
      <alignment/>
      <protection/>
    </xf>
    <xf numFmtId="0" fontId="8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24" fillId="0" borderId="15" applyNumberFormat="0" applyFill="0" applyAlignment="0" applyProtection="0"/>
    <xf numFmtId="0" fontId="37" fillId="0" borderId="16" applyNumberFormat="0" applyFill="0" applyAlignment="0" applyProtection="0"/>
    <xf numFmtId="0" fontId="87" fillId="0" borderId="17" applyNumberFormat="0" applyFill="0" applyAlignment="0" applyProtection="0"/>
    <xf numFmtId="0" fontId="25" fillId="0" borderId="18" applyNumberFormat="0" applyFill="0" applyAlignment="0" applyProtection="0"/>
    <xf numFmtId="0" fontId="38" fillId="0" borderId="18" applyNumberFormat="0" applyFill="0" applyAlignment="0" applyProtection="0"/>
    <xf numFmtId="0" fontId="88" fillId="0" borderId="19" applyNumberFormat="0" applyFill="0" applyAlignment="0" applyProtection="0"/>
    <xf numFmtId="0" fontId="26" fillId="0" borderId="20" applyNumberFormat="0" applyFill="0" applyAlignment="0" applyProtection="0"/>
    <xf numFmtId="0" fontId="39" fillId="0" borderId="21" applyNumberFormat="0" applyFill="0" applyAlignment="0" applyProtection="0"/>
    <xf numFmtId="0" fontId="8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9" fillId="0" borderId="22" applyNumberFormat="0" applyFill="0" applyAlignment="0" applyProtection="0"/>
    <xf numFmtId="0" fontId="27" fillId="0" borderId="23" applyNumberFormat="0" applyFill="0" applyAlignment="0" applyProtection="0"/>
    <xf numFmtId="0" fontId="27" fillId="0" borderId="24" applyNumberFormat="0" applyFill="0" applyAlignment="0" applyProtection="0"/>
    <xf numFmtId="0" fontId="90" fillId="74" borderId="0" applyNumberFormat="0" applyBorder="0" applyAlignment="0" applyProtection="0"/>
    <xf numFmtId="0" fontId="28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91" fillId="75" borderId="0" applyNumberFormat="0" applyBorder="0" applyAlignment="0" applyProtection="0"/>
    <xf numFmtId="0" fontId="29" fillId="1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3">
    <xf numFmtId="0" fontId="0" fillId="0" borderId="0" xfId="0" applyFont="1" applyAlignment="1">
      <alignment/>
    </xf>
    <xf numFmtId="0" fontId="92" fillId="0" borderId="0" xfId="0" applyFont="1" applyAlignment="1">
      <alignment horizontal="center" vertical="center"/>
    </xf>
    <xf numFmtId="0" fontId="93" fillId="0" borderId="25" xfId="0" applyFont="1" applyBorder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93" fillId="0" borderId="26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5" fillId="0" borderId="28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0" fillId="0" borderId="0" xfId="0" applyAlignment="1">
      <alignment vertical="center"/>
    </xf>
    <xf numFmtId="0" fontId="96" fillId="76" borderId="28" xfId="0" applyFont="1" applyFill="1" applyBorder="1" applyAlignment="1">
      <alignment vertical="center"/>
    </xf>
    <xf numFmtId="0" fontId="95" fillId="0" borderId="28" xfId="0" applyFont="1" applyFill="1" applyBorder="1" applyAlignment="1" quotePrefix="1">
      <alignment vertical="center"/>
    </xf>
    <xf numFmtId="3" fontId="92" fillId="0" borderId="26" xfId="210" applyNumberFormat="1" applyFont="1" applyBorder="1" applyAlignment="1">
      <alignment horizontal="center" vertical="center" wrapText="1"/>
    </xf>
    <xf numFmtId="3" fontId="92" fillId="0" borderId="29" xfId="210" applyNumberFormat="1" applyFont="1" applyBorder="1" applyAlignment="1">
      <alignment horizontal="center" vertical="center" wrapText="1"/>
    </xf>
    <xf numFmtId="0" fontId="97" fillId="0" borderId="26" xfId="0" applyFont="1" applyBorder="1" applyAlignment="1">
      <alignment vertical="center"/>
    </xf>
    <xf numFmtId="0" fontId="98" fillId="0" borderId="0" xfId="0" applyFont="1" applyAlignment="1">
      <alignment vertical="center"/>
    </xf>
    <xf numFmtId="0" fontId="98" fillId="0" borderId="0" xfId="0" applyFont="1" applyAlignment="1">
      <alignment horizontal="center" vertical="center"/>
    </xf>
    <xf numFmtId="0" fontId="99" fillId="0" borderId="0" xfId="0" applyFont="1" applyAlignment="1">
      <alignment horizontal="right" vertical="center"/>
    </xf>
    <xf numFmtId="0" fontId="98" fillId="0" borderId="30" xfId="0" applyFont="1" applyBorder="1" applyAlignment="1">
      <alignment horizontal="center" vertical="center"/>
    </xf>
    <xf numFmtId="0" fontId="98" fillId="0" borderId="31" xfId="0" applyFont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100" fillId="0" borderId="33" xfId="0" applyFont="1" applyBorder="1" applyAlignment="1">
      <alignment horizontal="left" vertical="center"/>
    </xf>
    <xf numFmtId="0" fontId="100" fillId="0" borderId="34" xfId="0" applyFont="1" applyBorder="1" applyAlignment="1">
      <alignment horizontal="left" vertical="center"/>
    </xf>
    <xf numFmtId="0" fontId="98" fillId="0" borderId="34" xfId="0" applyFont="1" applyBorder="1" applyAlignment="1">
      <alignment vertical="center"/>
    </xf>
    <xf numFmtId="0" fontId="100" fillId="0" borderId="35" xfId="0" applyFont="1" applyBorder="1" applyAlignment="1">
      <alignment horizontal="left" vertical="center"/>
    </xf>
    <xf numFmtId="0" fontId="98" fillId="0" borderId="36" xfId="0" applyFont="1" applyBorder="1" applyAlignment="1">
      <alignment vertical="center"/>
    </xf>
    <xf numFmtId="0" fontId="100" fillId="0" borderId="36" xfId="0" applyFont="1" applyBorder="1" applyAlignment="1">
      <alignment horizontal="left" vertical="center" wrapText="1" indent="2"/>
    </xf>
    <xf numFmtId="0" fontId="100" fillId="77" borderId="35" xfId="0" applyFont="1" applyFill="1" applyBorder="1" applyAlignment="1">
      <alignment horizontal="left" vertical="center"/>
    </xf>
    <xf numFmtId="0" fontId="100" fillId="77" borderId="36" xfId="0" applyFont="1" applyFill="1" applyBorder="1" applyAlignment="1">
      <alignment horizontal="left" vertical="center"/>
    </xf>
    <xf numFmtId="0" fontId="101" fillId="77" borderId="36" xfId="0" applyFont="1" applyFill="1" applyBorder="1" applyAlignment="1">
      <alignment vertical="center"/>
    </xf>
    <xf numFmtId="0" fontId="100" fillId="77" borderId="37" xfId="0" applyFont="1" applyFill="1" applyBorder="1" applyAlignment="1">
      <alignment horizontal="left" vertical="center"/>
    </xf>
    <xf numFmtId="0" fontId="100" fillId="77" borderId="38" xfId="0" applyFont="1" applyFill="1" applyBorder="1" applyAlignment="1">
      <alignment horizontal="left" vertical="center"/>
    </xf>
    <xf numFmtId="0" fontId="101" fillId="77" borderId="0" xfId="0" applyFont="1" applyFill="1" applyBorder="1" applyAlignment="1">
      <alignment vertical="center"/>
    </xf>
    <xf numFmtId="0" fontId="100" fillId="77" borderId="39" xfId="0" applyFont="1" applyFill="1" applyBorder="1" applyAlignment="1">
      <alignment horizontal="left" vertical="center"/>
    </xf>
    <xf numFmtId="0" fontId="100" fillId="77" borderId="40" xfId="0" applyFont="1" applyFill="1" applyBorder="1" applyAlignment="1">
      <alignment horizontal="left" vertical="center"/>
    </xf>
    <xf numFmtId="0" fontId="101" fillId="77" borderId="41" xfId="0" applyFont="1" applyFill="1" applyBorder="1" applyAlignment="1">
      <alignment vertical="center"/>
    </xf>
    <xf numFmtId="0" fontId="98" fillId="0" borderId="42" xfId="0" applyFont="1" applyBorder="1" applyAlignment="1">
      <alignment vertical="center"/>
    </xf>
    <xf numFmtId="0" fontId="99" fillId="0" borderId="43" xfId="0" applyFont="1" applyBorder="1" applyAlignment="1">
      <alignment horizontal="center" vertical="center" wrapText="1"/>
    </xf>
    <xf numFmtId="0" fontId="98" fillId="0" borderId="44" xfId="0" applyFont="1" applyBorder="1" applyAlignment="1">
      <alignment horizontal="center" vertical="center"/>
    </xf>
    <xf numFmtId="0" fontId="102" fillId="77" borderId="45" xfId="0" applyFont="1" applyFill="1" applyBorder="1" applyAlignment="1">
      <alignment horizontal="center" vertical="center"/>
    </xf>
    <xf numFmtId="0" fontId="103" fillId="77" borderId="46" xfId="0" applyFont="1" applyFill="1" applyBorder="1" applyAlignment="1">
      <alignment horizontal="left" vertical="center" wrapText="1"/>
    </xf>
    <xf numFmtId="0" fontId="103" fillId="77" borderId="46" xfId="0" applyFont="1" applyFill="1" applyBorder="1" applyAlignment="1">
      <alignment horizontal="left" vertical="top" wrapText="1"/>
    </xf>
    <xf numFmtId="0" fontId="104" fillId="0" borderId="28" xfId="0" applyFont="1" applyFill="1" applyBorder="1" applyAlignment="1">
      <alignment vertical="center"/>
    </xf>
    <xf numFmtId="0" fontId="104" fillId="0" borderId="26" xfId="0" applyFont="1" applyFill="1" applyBorder="1" applyAlignment="1">
      <alignment vertical="center"/>
    </xf>
    <xf numFmtId="0" fontId="99" fillId="0" borderId="26" xfId="0" applyFont="1" applyBorder="1" applyAlignment="1">
      <alignment horizontal="center" vertical="center" wrapText="1"/>
    </xf>
    <xf numFmtId="0" fontId="99" fillId="0" borderId="47" xfId="0" applyFont="1" applyBorder="1" applyAlignment="1">
      <alignment horizontal="center" vertical="center" wrapText="1"/>
    </xf>
    <xf numFmtId="0" fontId="2" fillId="0" borderId="0" xfId="1293">
      <alignment/>
      <protection/>
    </xf>
    <xf numFmtId="0" fontId="0" fillId="0" borderId="0" xfId="0" applyAlignment="1" applyProtection="1">
      <alignment/>
      <protection/>
    </xf>
    <xf numFmtId="0" fontId="94" fillId="0" borderId="26" xfId="0" applyFont="1" applyBorder="1" applyAlignment="1" applyProtection="1">
      <alignment horizontal="left" vertical="top"/>
      <protection/>
    </xf>
    <xf numFmtId="0" fontId="94" fillId="0" borderId="26" xfId="0" applyFont="1" applyBorder="1" applyAlignment="1" applyProtection="1">
      <alignment horizontal="left" vertical="top" wrapText="1"/>
      <protection/>
    </xf>
    <xf numFmtId="0" fontId="105" fillId="0" borderId="26" xfId="0" applyFont="1" applyBorder="1" applyAlignment="1" applyProtection="1">
      <alignment vertical="center"/>
      <protection/>
    </xf>
    <xf numFmtId="0" fontId="94" fillId="0" borderId="0" xfId="0" applyFont="1" applyAlignment="1" applyProtection="1">
      <alignment vertical="center"/>
      <protection/>
    </xf>
    <xf numFmtId="0" fontId="105" fillId="0" borderId="0" xfId="0" applyFont="1" applyAlignment="1" applyProtection="1">
      <alignment vertical="center"/>
      <protection/>
    </xf>
    <xf numFmtId="0" fontId="94" fillId="0" borderId="0" xfId="0" applyFont="1" applyAlignment="1" applyProtection="1">
      <alignment horizontal="center" vertical="center" wrapText="1"/>
      <protection/>
    </xf>
    <xf numFmtId="0" fontId="106" fillId="0" borderId="0" xfId="0" applyFont="1" applyAlignment="1" applyProtection="1">
      <alignment vertical="center"/>
      <protection/>
    </xf>
    <xf numFmtId="0" fontId="93" fillId="0" borderId="0" xfId="0" applyFont="1" applyAlignment="1" applyProtection="1">
      <alignment/>
      <protection/>
    </xf>
    <xf numFmtId="0" fontId="107" fillId="76" borderId="28" xfId="0" applyFont="1" applyFill="1" applyBorder="1" applyAlignment="1" applyProtection="1">
      <alignment vertical="center"/>
      <protection/>
    </xf>
    <xf numFmtId="0" fontId="92" fillId="2" borderId="26" xfId="0" applyFont="1" applyFill="1" applyBorder="1" applyAlignment="1" applyProtection="1">
      <alignment horizontal="center" vertical="center" wrapText="1"/>
      <protection/>
    </xf>
    <xf numFmtId="3" fontId="53" fillId="2" borderId="26" xfId="0" applyNumberFormat="1" applyFont="1" applyFill="1" applyBorder="1" applyAlignment="1" applyProtection="1">
      <alignment horizontal="center" vertical="center" wrapText="1"/>
      <protection/>
    </xf>
    <xf numFmtId="0" fontId="108" fillId="2" borderId="47" xfId="0" applyFont="1" applyFill="1" applyBorder="1" applyAlignment="1" applyProtection="1">
      <alignment horizontal="center" vertical="center" wrapText="1"/>
      <protection/>
    </xf>
    <xf numFmtId="0" fontId="92" fillId="2" borderId="47" xfId="0" applyFont="1" applyFill="1" applyBorder="1" applyAlignment="1" applyProtection="1">
      <alignment horizontal="center" vertical="center" wrapText="1"/>
      <protection/>
    </xf>
    <xf numFmtId="0" fontId="55" fillId="2" borderId="48" xfId="0" applyFont="1" applyFill="1" applyBorder="1" applyAlignment="1" applyProtection="1">
      <alignment vertical="center"/>
      <protection/>
    </xf>
    <xf numFmtId="3" fontId="12" fillId="2" borderId="49" xfId="0" applyNumberFormat="1" applyFont="1" applyFill="1" applyBorder="1" applyAlignment="1" applyProtection="1">
      <alignment horizontal="center" vertical="center" wrapText="1"/>
      <protection/>
    </xf>
    <xf numFmtId="0" fontId="109" fillId="2" borderId="29" xfId="0" applyFont="1" applyFill="1" applyBorder="1" applyAlignment="1" applyProtection="1">
      <alignment/>
      <protection/>
    </xf>
    <xf numFmtId="0" fontId="109" fillId="0" borderId="0" xfId="0" applyFont="1" applyBorder="1" applyAlignment="1" applyProtection="1">
      <alignment/>
      <protection/>
    </xf>
    <xf numFmtId="0" fontId="107" fillId="76" borderId="26" xfId="0" applyFont="1" applyFill="1" applyBorder="1" applyAlignment="1" applyProtection="1">
      <alignment vertical="center"/>
      <protection/>
    </xf>
    <xf numFmtId="0" fontId="96" fillId="76" borderId="28" xfId="0" applyFont="1" applyFill="1" applyBorder="1" applyAlignment="1" applyProtection="1">
      <alignment vertical="center"/>
      <protection/>
    </xf>
    <xf numFmtId="0" fontId="108" fillId="0" borderId="0" xfId="0" applyFont="1" applyFill="1" applyBorder="1" applyAlignment="1" applyProtection="1">
      <alignment horizontal="center" vertical="center" wrapText="1"/>
      <protection/>
    </xf>
    <xf numFmtId="0" fontId="95" fillId="0" borderId="0" xfId="0" applyFont="1" applyFill="1" applyBorder="1" applyAlignment="1" applyProtection="1">
      <alignment/>
      <protection/>
    </xf>
    <xf numFmtId="0" fontId="109" fillId="0" borderId="0" xfId="0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/>
      <protection/>
    </xf>
    <xf numFmtId="3" fontId="96" fillId="76" borderId="28" xfId="0" applyNumberFormat="1" applyFont="1" applyFill="1" applyBorder="1" applyAlignment="1" applyProtection="1">
      <alignment horizontal="center" vertical="center"/>
      <protection/>
    </xf>
    <xf numFmtId="0" fontId="96" fillId="76" borderId="28" xfId="0" applyFont="1" applyFill="1" applyBorder="1" applyAlignment="1" applyProtection="1">
      <alignment horizontal="center" vertical="center"/>
      <protection/>
    </xf>
    <xf numFmtId="0" fontId="2" fillId="0" borderId="0" xfId="1293" applyNumberFormat="1" quotePrefix="1">
      <alignment/>
      <protection/>
    </xf>
    <xf numFmtId="0" fontId="0" fillId="0" borderId="0" xfId="1335">
      <alignment/>
      <protection/>
    </xf>
    <xf numFmtId="0" fontId="95" fillId="2" borderId="49" xfId="0" applyFont="1" applyFill="1" applyBorder="1" applyAlignment="1" applyProtection="1">
      <alignment/>
      <protection/>
    </xf>
    <xf numFmtId="0" fontId="95" fillId="2" borderId="26" xfId="0" applyFont="1" applyFill="1" applyBorder="1" applyAlignment="1" applyProtection="1">
      <alignment/>
      <protection/>
    </xf>
    <xf numFmtId="3" fontId="92" fillId="2" borderId="26" xfId="210" applyNumberFormat="1" applyFont="1" applyFill="1" applyBorder="1" applyAlignment="1" applyProtection="1">
      <alignment horizontal="center" vertical="center" wrapText="1"/>
      <protection/>
    </xf>
    <xf numFmtId="0" fontId="98" fillId="0" borderId="50" xfId="0" applyFont="1" applyBorder="1" applyAlignment="1">
      <alignment horizontal="right" vertical="center" wrapText="1"/>
    </xf>
    <xf numFmtId="0" fontId="92" fillId="0" borderId="50" xfId="0" applyFont="1" applyBorder="1" applyAlignment="1">
      <alignment vertical="center"/>
    </xf>
    <xf numFmtId="0" fontId="110" fillId="78" borderId="51" xfId="0" applyFont="1" applyFill="1" applyBorder="1" applyAlignment="1">
      <alignment horizontal="center" vertical="center"/>
    </xf>
    <xf numFmtId="0" fontId="96" fillId="76" borderId="52" xfId="0" applyFont="1" applyFill="1" applyBorder="1" applyAlignment="1">
      <alignment vertical="center"/>
    </xf>
    <xf numFmtId="3" fontId="12" fillId="2" borderId="26" xfId="0" applyNumberFormat="1" applyFont="1" applyFill="1" applyBorder="1" applyAlignment="1" applyProtection="1">
      <alignment horizontal="center" vertical="center" wrapText="1"/>
      <protection/>
    </xf>
    <xf numFmtId="0" fontId="96" fillId="76" borderId="28" xfId="0" applyFont="1" applyFill="1" applyBorder="1" applyAlignment="1" applyProtection="1">
      <alignment vertical="center"/>
      <protection locked="0"/>
    </xf>
    <xf numFmtId="3" fontId="53" fillId="2" borderId="49" xfId="0" applyNumberFormat="1" applyFont="1" applyFill="1" applyBorder="1" applyAlignment="1" applyProtection="1">
      <alignment horizontal="center" vertical="center" wrapText="1"/>
      <protection/>
    </xf>
    <xf numFmtId="0" fontId="98" fillId="77" borderId="36" xfId="0" applyFont="1" applyFill="1" applyBorder="1" applyAlignment="1">
      <alignment vertical="center"/>
    </xf>
    <xf numFmtId="0" fontId="2" fillId="12" borderId="53" xfId="1279" applyFill="1" applyBorder="1" applyProtection="1">
      <alignment/>
      <protection hidden="1"/>
    </xf>
    <xf numFmtId="0" fontId="2" fillId="12" borderId="54" xfId="1279" applyFill="1" applyBorder="1" applyProtection="1">
      <alignment/>
      <protection hidden="1"/>
    </xf>
    <xf numFmtId="0" fontId="2" fillId="12" borderId="55" xfId="1279" applyFill="1" applyBorder="1" applyProtection="1">
      <alignment/>
      <protection hidden="1"/>
    </xf>
    <xf numFmtId="0" fontId="2" fillId="5" borderId="0" xfId="1279" applyFill="1" applyProtection="1">
      <alignment/>
      <protection/>
    </xf>
    <xf numFmtId="0" fontId="2" fillId="5" borderId="0" xfId="1279" applyNumberFormat="1" applyFill="1" applyAlignment="1" applyProtection="1">
      <alignment horizontal="left"/>
      <protection/>
    </xf>
    <xf numFmtId="0" fontId="2" fillId="12" borderId="56" xfId="1279" applyFill="1" applyBorder="1" applyProtection="1">
      <alignment/>
      <protection hidden="1"/>
    </xf>
    <xf numFmtId="0" fontId="3" fillId="79" borderId="26" xfId="1279" applyNumberFormat="1" applyFont="1" applyFill="1" applyBorder="1" applyAlignment="1" applyProtection="1">
      <alignment horizontal="left"/>
      <protection hidden="1"/>
    </xf>
    <xf numFmtId="0" fontId="3" fillId="79" borderId="52" xfId="1279" applyNumberFormat="1" applyFont="1" applyFill="1" applyBorder="1" applyAlignment="1" applyProtection="1">
      <alignment horizontal="left"/>
      <protection hidden="1"/>
    </xf>
    <xf numFmtId="0" fontId="3" fillId="79" borderId="27" xfId="1279" applyNumberFormat="1" applyFont="1" applyFill="1" applyBorder="1" applyAlignment="1" applyProtection="1">
      <alignment horizontal="left"/>
      <protection locked="0"/>
    </xf>
    <xf numFmtId="0" fontId="3" fillId="79" borderId="57" xfId="1279" applyNumberFormat="1" applyFont="1" applyFill="1" applyBorder="1" applyAlignment="1" applyProtection="1">
      <alignment horizontal="left"/>
      <protection locked="0"/>
    </xf>
    <xf numFmtId="0" fontId="2" fillId="80" borderId="0" xfId="1279" applyFill="1" applyProtection="1">
      <alignment/>
      <protection/>
    </xf>
    <xf numFmtId="0" fontId="2" fillId="80" borderId="0" xfId="1279" applyFill="1" applyProtection="1" quotePrefix="1">
      <alignment/>
      <protection/>
    </xf>
    <xf numFmtId="0" fontId="2" fillId="80" borderId="0" xfId="1279" applyNumberFormat="1" applyFill="1" applyAlignment="1" applyProtection="1">
      <alignment horizontal="left"/>
      <protection/>
    </xf>
    <xf numFmtId="0" fontId="3" fillId="79" borderId="26" xfId="1279" applyNumberFormat="1" applyFont="1" applyFill="1" applyBorder="1" applyProtection="1">
      <alignment/>
      <protection hidden="1"/>
    </xf>
    <xf numFmtId="0" fontId="2" fillId="12" borderId="0" xfId="1279" applyFill="1" applyBorder="1" applyProtection="1">
      <alignment/>
      <protection hidden="1"/>
    </xf>
    <xf numFmtId="0" fontId="2" fillId="12" borderId="58" xfId="1279" applyFill="1" applyBorder="1" applyProtection="1">
      <alignment/>
      <protection hidden="1"/>
    </xf>
    <xf numFmtId="0" fontId="2" fillId="5" borderId="0" xfId="1279" applyFill="1" applyProtection="1" quotePrefix="1">
      <alignment/>
      <protection/>
    </xf>
    <xf numFmtId="0" fontId="4" fillId="12" borderId="0" xfId="1279" applyFont="1" applyFill="1" applyBorder="1" applyProtection="1">
      <alignment/>
      <protection hidden="1"/>
    </xf>
    <xf numFmtId="0" fontId="3" fillId="12" borderId="0" xfId="1279" applyFont="1" applyFill="1" applyBorder="1" applyProtection="1">
      <alignment/>
      <protection hidden="1"/>
    </xf>
    <xf numFmtId="0" fontId="2" fillId="12" borderId="0" xfId="1279" applyFill="1" applyBorder="1" applyProtection="1" quotePrefix="1">
      <alignment/>
      <protection hidden="1"/>
    </xf>
    <xf numFmtId="0" fontId="3" fillId="79" borderId="26" xfId="1279" applyNumberFormat="1" applyFont="1" applyFill="1" applyBorder="1" applyProtection="1">
      <alignment/>
      <protection hidden="1" locked="0"/>
    </xf>
    <xf numFmtId="166" fontId="3" fillId="79" borderId="26" xfId="1279" applyNumberFormat="1" applyFont="1" applyFill="1" applyBorder="1" applyAlignment="1" applyProtection="1">
      <alignment horizontal="left"/>
      <protection locked="0"/>
    </xf>
    <xf numFmtId="0" fontId="2" fillId="12" borderId="59" xfId="1279" applyFill="1" applyBorder="1" applyProtection="1">
      <alignment/>
      <protection/>
    </xf>
    <xf numFmtId="0" fontId="2" fillId="12" borderId="60" xfId="1279" applyFill="1" applyBorder="1" applyProtection="1">
      <alignment/>
      <protection/>
    </xf>
    <xf numFmtId="0" fontId="5" fillId="12" borderId="61" xfId="1279" applyFont="1" applyFill="1" applyBorder="1" applyAlignment="1" applyProtection="1">
      <alignment horizontal="right"/>
      <protection/>
    </xf>
    <xf numFmtId="0" fontId="2" fillId="29" borderId="0" xfId="1279" applyFill="1" applyProtection="1">
      <alignment/>
      <protection/>
    </xf>
    <xf numFmtId="0" fontId="2" fillId="5" borderId="0" xfId="1279" applyNumberFormat="1" applyFill="1" applyAlignment="1" applyProtection="1" quotePrefix="1">
      <alignment horizontal="left"/>
      <protection/>
    </xf>
    <xf numFmtId="16" fontId="0" fillId="0" borderId="0" xfId="0" applyNumberFormat="1" applyAlignment="1">
      <alignment/>
    </xf>
    <xf numFmtId="0" fontId="102" fillId="78" borderId="51" xfId="1280" applyFont="1" applyFill="1" applyBorder="1" applyAlignment="1">
      <alignment vertical="center" wrapText="1"/>
      <protection/>
    </xf>
    <xf numFmtId="0" fontId="9" fillId="0" borderId="52" xfId="0" applyFont="1" applyBorder="1" applyAlignment="1">
      <alignment vertical="center"/>
    </xf>
    <xf numFmtId="3" fontId="7" fillId="23" borderId="30" xfId="0" applyNumberFormat="1" applyFont="1" applyFill="1" applyBorder="1" applyAlignment="1">
      <alignment horizontal="center" vertical="center" wrapText="1"/>
    </xf>
    <xf numFmtId="3" fontId="7" fillId="23" borderId="57" xfId="0" applyNumberFormat="1" applyFont="1" applyFill="1" applyBorder="1" applyAlignment="1">
      <alignment horizontal="center" vertical="center" wrapText="1"/>
    </xf>
    <xf numFmtId="3" fontId="7" fillId="13" borderId="57" xfId="534" applyNumberFormat="1" applyFont="1" applyFill="1" applyBorder="1" applyAlignment="1" applyProtection="1">
      <alignment horizontal="center" vertical="center" wrapText="1"/>
      <protection locked="0"/>
    </xf>
    <xf numFmtId="3" fontId="6" fillId="81" borderId="26" xfId="534" applyNumberFormat="1" applyFont="1" applyFill="1" applyBorder="1" applyAlignment="1" applyProtection="1">
      <alignment horizontal="center" vertical="center" wrapText="1"/>
      <protection/>
    </xf>
    <xf numFmtId="3" fontId="7" fillId="23" borderId="26" xfId="0" applyNumberFormat="1" applyFont="1" applyFill="1" applyBorder="1" applyAlignment="1" applyProtection="1">
      <alignment horizontal="center" vertical="center" wrapText="1"/>
      <protection/>
    </xf>
    <xf numFmtId="0" fontId="10" fillId="82" borderId="28" xfId="0" applyFont="1" applyFill="1" applyBorder="1" applyAlignment="1">
      <alignment vertical="center"/>
    </xf>
    <xf numFmtId="0" fontId="10" fillId="82" borderId="62" xfId="0" applyFont="1" applyFill="1" applyBorder="1" applyAlignment="1">
      <alignment vertical="center"/>
    </xf>
    <xf numFmtId="0" fontId="10" fillId="82" borderId="42" xfId="0" applyFont="1" applyFill="1" applyBorder="1" applyAlignment="1">
      <alignment vertical="center"/>
    </xf>
    <xf numFmtId="0" fontId="11" fillId="4" borderId="48" xfId="0" applyFont="1" applyFill="1" applyBorder="1" applyAlignment="1">
      <alignment vertical="center"/>
    </xf>
    <xf numFmtId="3" fontId="12" fillId="4" borderId="41" xfId="0" applyNumberFormat="1" applyFont="1" applyFill="1" applyBorder="1" applyAlignment="1">
      <alignment horizontal="center" vertical="center" wrapText="1"/>
    </xf>
    <xf numFmtId="3" fontId="12" fillId="4" borderId="63" xfId="0" applyNumberFormat="1" applyFont="1" applyFill="1" applyBorder="1" applyAlignment="1">
      <alignment horizontal="center" vertical="center" wrapText="1"/>
    </xf>
    <xf numFmtId="0" fontId="111" fillId="0" borderId="26" xfId="0" applyFont="1" applyFill="1" applyBorder="1" applyAlignment="1">
      <alignment horizontal="left" vertical="top"/>
    </xf>
    <xf numFmtId="0" fontId="111" fillId="0" borderId="26" xfId="0" applyFont="1" applyFill="1" applyBorder="1" applyAlignment="1">
      <alignment horizontal="left" vertical="top" wrapText="1"/>
    </xf>
    <xf numFmtId="0" fontId="112" fillId="0" borderId="26" xfId="0" applyFont="1" applyFill="1" applyBorder="1" applyAlignment="1">
      <alignment vertical="center"/>
    </xf>
    <xf numFmtId="0" fontId="8" fillId="0" borderId="45" xfId="0" applyFont="1" applyBorder="1" applyAlignment="1">
      <alignment vertical="center"/>
    </xf>
    <xf numFmtId="3" fontId="7" fillId="0" borderId="33" xfId="534" applyNumberFormat="1" applyFont="1" applyFill="1" applyBorder="1" applyAlignment="1">
      <alignment horizontal="center" vertical="center" wrapText="1"/>
    </xf>
    <xf numFmtId="3" fontId="6" fillId="0" borderId="64" xfId="534" applyNumberFormat="1" applyFont="1" applyFill="1" applyBorder="1" applyAlignment="1">
      <alignment horizontal="center" vertical="center" wrapText="1"/>
    </xf>
    <xf numFmtId="3" fontId="6" fillId="0" borderId="45" xfId="534" applyNumberFormat="1" applyFont="1" applyFill="1" applyBorder="1" applyAlignment="1">
      <alignment horizontal="center" vertical="center" wrapText="1"/>
    </xf>
    <xf numFmtId="0" fontId="59" fillId="0" borderId="28" xfId="0" applyFont="1" applyBorder="1" applyAlignment="1">
      <alignment vertical="center"/>
    </xf>
    <xf numFmtId="0" fontId="95" fillId="0" borderId="65" xfId="0" applyFont="1" applyBorder="1" applyAlignment="1">
      <alignment vertical="center"/>
    </xf>
    <xf numFmtId="0" fontId="95" fillId="0" borderId="46" xfId="0" applyFont="1" applyBorder="1" applyAlignment="1">
      <alignment vertical="center"/>
    </xf>
    <xf numFmtId="3" fontId="92" fillId="0" borderId="66" xfId="210" applyNumberFormat="1" applyFont="1" applyBorder="1" applyAlignment="1">
      <alignment horizontal="center" vertical="center" wrapText="1"/>
    </xf>
    <xf numFmtId="3" fontId="93" fillId="67" borderId="46" xfId="210" applyNumberFormat="1" applyFont="1" applyFill="1" applyBorder="1" applyAlignment="1" applyProtection="1">
      <alignment horizontal="center" vertical="center" wrapText="1"/>
      <protection locked="0"/>
    </xf>
    <xf numFmtId="3" fontId="92" fillId="0" borderId="46" xfId="210" applyNumberFormat="1" applyFont="1" applyBorder="1" applyAlignment="1">
      <alignment horizontal="center" vertical="center" wrapText="1"/>
    </xf>
    <xf numFmtId="3" fontId="93" fillId="67" borderId="65" xfId="210" applyNumberFormat="1" applyFont="1" applyFill="1" applyBorder="1" applyAlignment="1" applyProtection="1">
      <alignment horizontal="center" vertical="center" wrapText="1"/>
      <protection locked="0"/>
    </xf>
    <xf numFmtId="3" fontId="92" fillId="0" borderId="65" xfId="210" applyNumberFormat="1" applyFont="1" applyBorder="1" applyAlignment="1">
      <alignment horizontal="center" vertical="center" wrapText="1"/>
    </xf>
    <xf numFmtId="0" fontId="11" fillId="4" borderId="67" xfId="0" applyFont="1" applyFill="1" applyBorder="1" applyAlignment="1">
      <alignment/>
    </xf>
    <xf numFmtId="3" fontId="7" fillId="4" borderId="68" xfId="0" applyNumberFormat="1" applyFont="1" applyFill="1" applyBorder="1" applyAlignment="1">
      <alignment horizontal="center" vertical="center" wrapText="1"/>
    </xf>
    <xf numFmtId="3" fontId="7" fillId="4" borderId="69" xfId="0" applyNumberFormat="1" applyFont="1" applyFill="1" applyBorder="1" applyAlignment="1">
      <alignment horizontal="center" vertical="center" wrapText="1"/>
    </xf>
    <xf numFmtId="0" fontId="8" fillId="23" borderId="70" xfId="0" applyFont="1" applyFill="1" applyBorder="1" applyAlignment="1" quotePrefix="1">
      <alignment vertical="center"/>
    </xf>
    <xf numFmtId="3" fontId="7" fillId="23" borderId="71" xfId="0" applyNumberFormat="1" applyFont="1" applyFill="1" applyBorder="1" applyAlignment="1">
      <alignment horizontal="center" vertical="center" wrapText="1"/>
    </xf>
    <xf numFmtId="3" fontId="7" fillId="23" borderId="72" xfId="0" applyNumberFormat="1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vertical="center"/>
    </xf>
    <xf numFmtId="0" fontId="104" fillId="0" borderId="73" xfId="0" applyFont="1" applyFill="1" applyBorder="1" applyAlignment="1">
      <alignment vertical="center"/>
    </xf>
    <xf numFmtId="0" fontId="95" fillId="0" borderId="70" xfId="0" applyFont="1" applyBorder="1" applyAlignment="1">
      <alignment vertical="center"/>
    </xf>
    <xf numFmtId="0" fontId="95" fillId="0" borderId="73" xfId="0" applyFont="1" applyBorder="1" applyAlignment="1">
      <alignment vertical="center"/>
    </xf>
    <xf numFmtId="0" fontId="57" fillId="0" borderId="73" xfId="0" applyFont="1" applyBorder="1" applyAlignment="1">
      <alignment vertical="center"/>
    </xf>
    <xf numFmtId="0" fontId="95" fillId="0" borderId="74" xfId="0" applyFont="1" applyBorder="1" applyAlignment="1">
      <alignment vertical="center"/>
    </xf>
    <xf numFmtId="3" fontId="92" fillId="0" borderId="75" xfId="210" applyNumberFormat="1" applyFont="1" applyBorder="1" applyAlignment="1">
      <alignment horizontal="center" vertical="center" wrapText="1"/>
    </xf>
    <xf numFmtId="0" fontId="95" fillId="0" borderId="76" xfId="0" applyFont="1" applyBorder="1" applyAlignment="1" quotePrefix="1">
      <alignment vertical="center"/>
    </xf>
    <xf numFmtId="0" fontId="95" fillId="0" borderId="70" xfId="0" applyFont="1" applyBorder="1" applyAlignment="1" quotePrefix="1">
      <alignment vertical="center"/>
    </xf>
    <xf numFmtId="0" fontId="95" fillId="0" borderId="70" xfId="0" applyFont="1" applyBorder="1" applyAlignment="1" quotePrefix="1">
      <alignment vertical="top"/>
    </xf>
    <xf numFmtId="0" fontId="95" fillId="0" borderId="74" xfId="0" applyFont="1" applyBorder="1" applyAlignment="1" quotePrefix="1">
      <alignment horizontal="left" vertical="center"/>
    </xf>
    <xf numFmtId="3" fontId="93" fillId="67" borderId="75" xfId="210" applyNumberFormat="1" applyFont="1" applyFill="1" applyBorder="1" applyAlignment="1" applyProtection="1">
      <alignment horizontal="center" vertical="center" wrapText="1"/>
      <protection locked="0"/>
    </xf>
    <xf numFmtId="0" fontId="95" fillId="0" borderId="76" xfId="0" applyFont="1" applyBorder="1" applyAlignment="1">
      <alignment vertical="center"/>
    </xf>
    <xf numFmtId="3" fontId="93" fillId="67" borderId="45" xfId="210" applyNumberFormat="1" applyFont="1" applyFill="1" applyBorder="1" applyAlignment="1" applyProtection="1">
      <alignment horizontal="center" vertical="center" wrapText="1"/>
      <protection locked="0"/>
    </xf>
    <xf numFmtId="3" fontId="92" fillId="0" borderId="45" xfId="210" applyNumberFormat="1" applyFont="1" applyBorder="1" applyAlignment="1">
      <alignment horizontal="center" vertical="center" wrapText="1"/>
    </xf>
    <xf numFmtId="0" fontId="57" fillId="0" borderId="70" xfId="0" applyFont="1" applyFill="1" applyBorder="1" applyAlignment="1">
      <alignment vertical="center"/>
    </xf>
    <xf numFmtId="0" fontId="95" fillId="0" borderId="76" xfId="0" applyFont="1" applyFill="1" applyBorder="1" applyAlignment="1">
      <alignment vertical="center"/>
    </xf>
    <xf numFmtId="0" fontId="95" fillId="0" borderId="74" xfId="0" applyFont="1" applyFill="1" applyBorder="1" applyAlignment="1">
      <alignment vertical="center"/>
    </xf>
    <xf numFmtId="0" fontId="10" fillId="82" borderId="52" xfId="0" applyFont="1" applyFill="1" applyBorder="1" applyAlignment="1">
      <alignment vertical="center"/>
    </xf>
    <xf numFmtId="0" fontId="10" fillId="82" borderId="27" xfId="0" applyFont="1" applyFill="1" applyBorder="1" applyAlignment="1">
      <alignment vertical="center"/>
    </xf>
    <xf numFmtId="0" fontId="10" fillId="82" borderId="57" xfId="0" applyFont="1" applyFill="1" applyBorder="1" applyAlignment="1">
      <alignment vertical="center"/>
    </xf>
    <xf numFmtId="0" fontId="9" fillId="83" borderId="48" xfId="0" applyFont="1" applyFill="1" applyBorder="1" applyAlignment="1">
      <alignment vertical="center"/>
    </xf>
    <xf numFmtId="3" fontId="6" fillId="83" borderId="77" xfId="0" applyNumberFormat="1" applyFont="1" applyFill="1" applyBorder="1" applyAlignment="1">
      <alignment horizontal="center" vertical="center" wrapText="1"/>
    </xf>
    <xf numFmtId="3" fontId="6" fillId="83" borderId="78" xfId="0" applyNumberFormat="1" applyFont="1" applyFill="1" applyBorder="1" applyAlignment="1">
      <alignment horizontal="center" vertical="center" wrapText="1"/>
    </xf>
    <xf numFmtId="3" fontId="6" fillId="83" borderId="79" xfId="0" applyNumberFormat="1" applyFont="1" applyFill="1" applyBorder="1" applyAlignment="1">
      <alignment horizontal="center" vertical="center" wrapText="1"/>
    </xf>
    <xf numFmtId="3" fontId="6" fillId="83" borderId="49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6" fillId="23" borderId="30" xfId="0" applyNumberFormat="1" applyFont="1" applyFill="1" applyBorder="1" applyAlignment="1">
      <alignment horizontal="center" vertical="center" wrapText="1"/>
    </xf>
    <xf numFmtId="3" fontId="6" fillId="23" borderId="32" xfId="0" applyNumberFormat="1" applyFont="1" applyFill="1" applyBorder="1" applyAlignment="1">
      <alignment horizontal="center" vertical="center" wrapText="1"/>
    </xf>
    <xf numFmtId="3" fontId="6" fillId="23" borderId="26" xfId="0" applyNumberFormat="1" applyFont="1" applyFill="1" applyBorder="1" applyAlignment="1">
      <alignment horizontal="center" vertical="center" wrapText="1"/>
    </xf>
    <xf numFmtId="3" fontId="6" fillId="81" borderId="26" xfId="534" applyNumberFormat="1" applyFont="1" applyFill="1" applyBorder="1" applyAlignment="1">
      <alignment horizontal="center" vertical="center" wrapText="1"/>
    </xf>
    <xf numFmtId="3" fontId="6" fillId="0" borderId="26" xfId="534" applyNumberFormat="1" applyFont="1" applyBorder="1" applyAlignment="1">
      <alignment horizontal="center" vertical="center" wrapText="1"/>
    </xf>
    <xf numFmtId="0" fontId="9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7" fillId="0" borderId="34" xfId="534" applyNumberFormat="1" applyFont="1" applyFill="1" applyBorder="1" applyAlignment="1">
      <alignment horizontal="center" vertical="center" wrapText="1"/>
    </xf>
    <xf numFmtId="3" fontId="93" fillId="67" borderId="80" xfId="210" applyNumberFormat="1" applyFont="1" applyFill="1" applyBorder="1" applyAlignment="1" applyProtection="1">
      <alignment horizontal="center" vertical="center" wrapText="1"/>
      <protection locked="0"/>
    </xf>
    <xf numFmtId="3" fontId="93" fillId="67" borderId="81" xfId="210" applyNumberFormat="1" applyFont="1" applyFill="1" applyBorder="1" applyAlignment="1" applyProtection="1">
      <alignment horizontal="center" vertical="center" wrapText="1"/>
      <protection locked="0"/>
    </xf>
    <xf numFmtId="3" fontId="92" fillId="0" borderId="82" xfId="210" applyNumberFormat="1" applyFont="1" applyBorder="1" applyAlignment="1">
      <alignment horizontal="center" vertical="center" wrapText="1"/>
    </xf>
    <xf numFmtId="3" fontId="93" fillId="67" borderId="35" xfId="210" applyNumberFormat="1" applyFont="1" applyFill="1" applyBorder="1" applyAlignment="1" applyProtection="1">
      <alignment horizontal="center" vertical="center" wrapText="1"/>
      <protection locked="0"/>
    </xf>
    <xf numFmtId="3" fontId="93" fillId="67" borderId="36" xfId="210" applyNumberFormat="1" applyFont="1" applyFill="1" applyBorder="1" applyAlignment="1" applyProtection="1">
      <alignment horizontal="center" vertical="center" wrapText="1"/>
      <protection locked="0"/>
    </xf>
    <xf numFmtId="3" fontId="92" fillId="0" borderId="83" xfId="210" applyNumberFormat="1" applyFont="1" applyBorder="1" applyAlignment="1">
      <alignment horizontal="center" vertical="center" wrapText="1"/>
    </xf>
    <xf numFmtId="3" fontId="93" fillId="67" borderId="39" xfId="210" applyNumberFormat="1" applyFont="1" applyFill="1" applyBorder="1" applyAlignment="1" applyProtection="1">
      <alignment horizontal="center" vertical="center" wrapText="1"/>
      <protection locked="0"/>
    </xf>
    <xf numFmtId="3" fontId="93" fillId="67" borderId="40" xfId="210" applyNumberFormat="1" applyFont="1" applyFill="1" applyBorder="1" applyAlignment="1" applyProtection="1">
      <alignment horizontal="center" vertical="center" wrapText="1"/>
      <protection locked="0"/>
    </xf>
    <xf numFmtId="3" fontId="92" fillId="0" borderId="84" xfId="210" applyNumberFormat="1" applyFont="1" applyBorder="1" applyAlignment="1">
      <alignment horizontal="center" vertical="center" wrapText="1"/>
    </xf>
    <xf numFmtId="3" fontId="93" fillId="67" borderId="77" xfId="210" applyNumberFormat="1" applyFont="1" applyFill="1" applyBorder="1" applyAlignment="1" applyProtection="1">
      <alignment horizontal="center" vertical="center" wrapText="1"/>
      <protection locked="0"/>
    </xf>
    <xf numFmtId="3" fontId="93" fillId="67" borderId="78" xfId="210" applyNumberFormat="1" applyFont="1" applyFill="1" applyBorder="1" applyAlignment="1" applyProtection="1">
      <alignment horizontal="center" vertical="center" wrapText="1"/>
      <protection locked="0"/>
    </xf>
    <xf numFmtId="3" fontId="92" fillId="0" borderId="79" xfId="210" applyNumberFormat="1" applyFont="1" applyBorder="1" applyAlignment="1">
      <alignment horizontal="center" vertical="center" wrapText="1"/>
    </xf>
    <xf numFmtId="3" fontId="93" fillId="67" borderId="33" xfId="210" applyNumberFormat="1" applyFont="1" applyFill="1" applyBorder="1" applyAlignment="1" applyProtection="1">
      <alignment horizontal="center" vertical="center" wrapText="1"/>
      <protection locked="0"/>
    </xf>
    <xf numFmtId="3" fontId="93" fillId="67" borderId="34" xfId="210" applyNumberFormat="1" applyFont="1" applyFill="1" applyBorder="1" applyAlignment="1" applyProtection="1">
      <alignment horizontal="center" vertical="center" wrapText="1"/>
      <protection locked="0"/>
    </xf>
    <xf numFmtId="3" fontId="92" fillId="0" borderId="64" xfId="210" applyNumberFormat="1" applyFont="1" applyBorder="1" applyAlignment="1">
      <alignment horizontal="center" vertical="center" wrapText="1"/>
    </xf>
    <xf numFmtId="3" fontId="93" fillId="67" borderId="85" xfId="210" applyNumberFormat="1" applyFont="1" applyFill="1" applyBorder="1" applyAlignment="1" applyProtection="1">
      <alignment horizontal="center" vertical="center" wrapText="1"/>
      <protection locked="0"/>
    </xf>
    <xf numFmtId="3" fontId="93" fillId="67" borderId="86" xfId="210" applyNumberFormat="1" applyFont="1" applyFill="1" applyBorder="1" applyAlignment="1" applyProtection="1">
      <alignment horizontal="center" vertical="center" wrapText="1"/>
      <protection locked="0"/>
    </xf>
    <xf numFmtId="3" fontId="92" fillId="0" borderId="87" xfId="210" applyNumberFormat="1" applyFont="1" applyBorder="1" applyAlignment="1">
      <alignment horizontal="center" vertical="center" wrapText="1"/>
    </xf>
    <xf numFmtId="3" fontId="93" fillId="67" borderId="30" xfId="210" applyNumberFormat="1" applyFont="1" applyFill="1" applyBorder="1" applyAlignment="1" applyProtection="1">
      <alignment horizontal="center" vertical="center" wrapText="1"/>
      <protection locked="0"/>
    </xf>
    <xf numFmtId="3" fontId="93" fillId="67" borderId="31" xfId="210" applyNumberFormat="1" applyFont="1" applyFill="1" applyBorder="1" applyAlignment="1" applyProtection="1">
      <alignment horizontal="center" vertical="center" wrapText="1"/>
      <protection locked="0"/>
    </xf>
    <xf numFmtId="3" fontId="92" fillId="0" borderId="32" xfId="210" applyNumberFormat="1" applyFont="1" applyBorder="1" applyAlignment="1">
      <alignment horizontal="center" vertical="center" wrapText="1"/>
    </xf>
    <xf numFmtId="3" fontId="6" fillId="77" borderId="45" xfId="534" applyNumberFormat="1" applyFont="1" applyFill="1" applyBorder="1" applyAlignment="1">
      <alignment horizontal="center" vertical="center" wrapText="1"/>
    </xf>
    <xf numFmtId="3" fontId="92" fillId="77" borderId="29" xfId="210" applyNumberFormat="1" applyFont="1" applyFill="1" applyBorder="1" applyAlignment="1">
      <alignment horizontal="center" vertical="center" wrapText="1"/>
    </xf>
    <xf numFmtId="3" fontId="92" fillId="77" borderId="65" xfId="210" applyNumberFormat="1" applyFont="1" applyFill="1" applyBorder="1" applyAlignment="1">
      <alignment horizontal="center" vertical="center" wrapText="1"/>
    </xf>
    <xf numFmtId="3" fontId="92" fillId="77" borderId="46" xfId="210" applyNumberFormat="1" applyFont="1" applyFill="1" applyBorder="1" applyAlignment="1">
      <alignment horizontal="center" vertical="center" wrapText="1"/>
    </xf>
    <xf numFmtId="3" fontId="92" fillId="77" borderId="75" xfId="210" applyNumberFormat="1" applyFont="1" applyFill="1" applyBorder="1" applyAlignment="1">
      <alignment horizontal="center" vertical="center" wrapText="1"/>
    </xf>
    <xf numFmtId="3" fontId="92" fillId="77" borderId="66" xfId="210" applyNumberFormat="1" applyFont="1" applyFill="1" applyBorder="1" applyAlignment="1">
      <alignment horizontal="center" vertical="center" wrapText="1"/>
    </xf>
    <xf numFmtId="3" fontId="92" fillId="77" borderId="26" xfId="210" applyNumberFormat="1" applyFont="1" applyFill="1" applyBorder="1" applyAlignment="1">
      <alignment horizontal="center" vertical="center" wrapText="1"/>
    </xf>
    <xf numFmtId="3" fontId="92" fillId="77" borderId="45" xfId="210" applyNumberFormat="1" applyFont="1" applyFill="1" applyBorder="1" applyAlignment="1">
      <alignment horizontal="center" vertical="center" wrapText="1"/>
    </xf>
    <xf numFmtId="0" fontId="57" fillId="0" borderId="67" xfId="0" applyFont="1" applyFill="1" applyBorder="1" applyAlignment="1">
      <alignment vertical="center" wrapText="1"/>
    </xf>
    <xf numFmtId="3" fontId="92" fillId="2" borderId="26" xfId="0" applyNumberFormat="1" applyFont="1" applyFill="1" applyBorder="1" applyAlignment="1" applyProtection="1">
      <alignment horizontal="center" vertical="center" wrapText="1"/>
      <protection/>
    </xf>
    <xf numFmtId="0" fontId="12" fillId="0" borderId="67" xfId="0" applyFont="1" applyBorder="1" applyAlignment="1" applyProtection="1">
      <alignment/>
      <protection/>
    </xf>
    <xf numFmtId="3" fontId="12" fillId="67" borderId="45" xfId="210" applyNumberFormat="1" applyFont="1" applyFill="1" applyBorder="1" applyAlignment="1" applyProtection="1">
      <alignment horizontal="center" vertical="center" wrapText="1"/>
      <protection locked="0"/>
    </xf>
    <xf numFmtId="3" fontId="93" fillId="0" borderId="45" xfId="210" applyNumberFormat="1" applyFont="1" applyFill="1" applyBorder="1" applyAlignment="1" applyProtection="1">
      <alignment horizontal="center" vertical="center" wrapText="1"/>
      <protection/>
    </xf>
    <xf numFmtId="0" fontId="12" fillId="0" borderId="70" xfId="0" applyFont="1" applyBorder="1" applyAlignment="1" applyProtection="1">
      <alignment/>
      <protection/>
    </xf>
    <xf numFmtId="3" fontId="12" fillId="67" borderId="65" xfId="210" applyNumberFormat="1" applyFont="1" applyFill="1" applyBorder="1" applyAlignment="1" applyProtection="1">
      <alignment horizontal="center" vertical="center" wrapText="1"/>
      <protection locked="0"/>
    </xf>
    <xf numFmtId="3" fontId="93" fillId="0" borderId="65" xfId="210" applyNumberFormat="1" applyFont="1" applyFill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/>
      <protection/>
    </xf>
    <xf numFmtId="0" fontId="109" fillId="67" borderId="65" xfId="0" applyFont="1" applyFill="1" applyBorder="1" applyAlignment="1" applyProtection="1">
      <alignment/>
      <protection locked="0"/>
    </xf>
    <xf numFmtId="0" fontId="12" fillId="0" borderId="46" xfId="0" applyFont="1" applyBorder="1" applyAlignment="1" applyProtection="1">
      <alignment/>
      <protection/>
    </xf>
    <xf numFmtId="3" fontId="12" fillId="67" borderId="46" xfId="210" applyNumberFormat="1" applyFont="1" applyFill="1" applyBorder="1" applyAlignment="1" applyProtection="1">
      <alignment horizontal="center" vertical="center" wrapText="1"/>
      <protection locked="0"/>
    </xf>
    <xf numFmtId="0" fontId="109" fillId="67" borderId="46" xfId="0" applyFont="1" applyFill="1" applyBorder="1" applyAlignment="1" applyProtection="1">
      <alignment/>
      <protection locked="0"/>
    </xf>
    <xf numFmtId="3" fontId="12" fillId="0" borderId="45" xfId="210" applyNumberFormat="1" applyFont="1" applyFill="1" applyBorder="1" applyAlignment="1" applyProtection="1">
      <alignment horizontal="center" vertical="center" wrapText="1"/>
      <protection/>
    </xf>
    <xf numFmtId="3" fontId="12" fillId="0" borderId="65" xfId="210" applyNumberFormat="1" applyFont="1" applyFill="1" applyBorder="1" applyAlignment="1" applyProtection="1">
      <alignment horizontal="center" vertical="center" wrapText="1"/>
      <protection/>
    </xf>
    <xf numFmtId="0" fontId="113" fillId="44" borderId="45" xfId="0" applyFont="1" applyFill="1" applyBorder="1" applyAlignment="1" applyProtection="1">
      <alignment/>
      <protection hidden="1"/>
    </xf>
    <xf numFmtId="0" fontId="113" fillId="44" borderId="65" xfId="0" applyFont="1" applyFill="1" applyBorder="1" applyAlignment="1" applyProtection="1">
      <alignment/>
      <protection hidden="1"/>
    </xf>
    <xf numFmtId="0" fontId="113" fillId="44" borderId="46" xfId="0" applyFont="1" applyFill="1" applyBorder="1" applyAlignment="1" applyProtection="1">
      <alignment/>
      <protection hidden="1"/>
    </xf>
    <xf numFmtId="0" fontId="92" fillId="2" borderId="26" xfId="0" applyFont="1" applyFill="1" applyBorder="1" applyAlignment="1">
      <alignment horizontal="center" vertical="center" wrapText="1"/>
    </xf>
    <xf numFmtId="0" fontId="108" fillId="2" borderId="47" xfId="0" applyFont="1" applyFill="1" applyBorder="1" applyAlignment="1">
      <alignment horizontal="center" vertical="center" wrapText="1"/>
    </xf>
    <xf numFmtId="0" fontId="107" fillId="76" borderId="62" xfId="0" applyFont="1" applyFill="1" applyBorder="1" applyAlignment="1">
      <alignment vertical="center"/>
    </xf>
    <xf numFmtId="3" fontId="53" fillId="2" borderId="26" xfId="0" applyNumberFormat="1" applyFont="1" applyFill="1" applyBorder="1" applyAlignment="1">
      <alignment horizontal="center" vertical="center" wrapText="1"/>
    </xf>
    <xf numFmtId="0" fontId="109" fillId="67" borderId="75" xfId="0" applyFont="1" applyFill="1" applyBorder="1" applyAlignment="1" applyProtection="1">
      <alignment/>
      <protection locked="0"/>
    </xf>
    <xf numFmtId="0" fontId="55" fillId="2" borderId="26" xfId="0" applyFont="1" applyFill="1" applyBorder="1" applyAlignment="1" applyProtection="1">
      <alignment vertical="center"/>
      <protection/>
    </xf>
    <xf numFmtId="0" fontId="109" fillId="2" borderId="26" xfId="0" applyFont="1" applyFill="1" applyBorder="1" applyAlignment="1" applyProtection="1">
      <alignment/>
      <protection/>
    </xf>
    <xf numFmtId="3" fontId="93" fillId="84" borderId="26" xfId="210" applyNumberFormat="1" applyFont="1" applyFill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/>
      <protection/>
    </xf>
    <xf numFmtId="3" fontId="93" fillId="0" borderId="46" xfId="210" applyNumberFormat="1" applyFont="1" applyFill="1" applyBorder="1" applyAlignment="1" applyProtection="1">
      <alignment horizontal="center" vertical="center" wrapText="1"/>
      <protection/>
    </xf>
    <xf numFmtId="3" fontId="93" fillId="67" borderId="45" xfId="210" applyNumberFormat="1" applyFont="1" applyFill="1" applyBorder="1" applyAlignment="1" applyProtection="1">
      <alignment horizontal="center" vertical="center" wrapText="1"/>
      <protection/>
    </xf>
    <xf numFmtId="3" fontId="93" fillId="67" borderId="46" xfId="210" applyNumberFormat="1" applyFont="1" applyFill="1" applyBorder="1" applyAlignment="1" applyProtection="1">
      <alignment horizontal="center" vertical="center" wrapText="1"/>
      <protection/>
    </xf>
    <xf numFmtId="0" fontId="12" fillId="67" borderId="45" xfId="0" applyFont="1" applyFill="1" applyBorder="1" applyAlignment="1" applyProtection="1">
      <alignment/>
      <protection locked="0"/>
    </xf>
    <xf numFmtId="0" fontId="109" fillId="2" borderId="46" xfId="0" applyFont="1" applyFill="1" applyBorder="1" applyAlignment="1" applyProtection="1">
      <alignment/>
      <protection/>
    </xf>
    <xf numFmtId="3" fontId="93" fillId="67" borderId="26" xfId="210" applyNumberFormat="1" applyFont="1" applyFill="1" applyBorder="1" applyAlignment="1" applyProtection="1">
      <alignment horizontal="center" vertical="center" wrapText="1"/>
      <protection/>
    </xf>
    <xf numFmtId="3" fontId="93" fillId="67" borderId="26" xfId="210" applyNumberFormat="1" applyFont="1" applyFill="1" applyBorder="1" applyAlignment="1" applyProtection="1">
      <alignment horizontal="center" vertical="center" wrapText="1"/>
      <protection locked="0"/>
    </xf>
    <xf numFmtId="3" fontId="93" fillId="84" borderId="45" xfId="210" applyNumberFormat="1" applyFont="1" applyFill="1" applyBorder="1" applyAlignment="1" applyProtection="1">
      <alignment horizontal="center" vertical="center" wrapText="1"/>
      <protection/>
    </xf>
    <xf numFmtId="0" fontId="107" fillId="76" borderId="26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55" fillId="2" borderId="73" xfId="0" applyFont="1" applyFill="1" applyBorder="1" applyAlignment="1" applyProtection="1">
      <alignment vertical="center"/>
      <protection/>
    </xf>
    <xf numFmtId="3" fontId="12" fillId="2" borderId="46" xfId="0" applyNumberFormat="1" applyFont="1" applyFill="1" applyBorder="1" applyAlignment="1" applyProtection="1">
      <alignment horizontal="center" vertical="center" wrapText="1"/>
      <protection/>
    </xf>
    <xf numFmtId="3" fontId="92" fillId="0" borderId="45" xfId="210" applyNumberFormat="1" applyFont="1" applyBorder="1" applyAlignment="1" applyProtection="1">
      <alignment horizontal="center" vertical="center" wrapText="1"/>
      <protection/>
    </xf>
    <xf numFmtId="3" fontId="92" fillId="0" borderId="65" xfId="210" applyNumberFormat="1" applyFont="1" applyBorder="1" applyAlignment="1" applyProtection="1">
      <alignment horizontal="center" vertical="center" wrapText="1"/>
      <protection/>
    </xf>
    <xf numFmtId="3" fontId="92" fillId="0" borderId="46" xfId="210" applyNumberFormat="1" applyFont="1" applyBorder="1" applyAlignment="1" applyProtection="1">
      <alignment horizontal="center" vertical="center" wrapText="1"/>
      <protection/>
    </xf>
    <xf numFmtId="3" fontId="92" fillId="0" borderId="75" xfId="210" applyNumberFormat="1" applyFont="1" applyBorder="1" applyAlignment="1" applyProtection="1">
      <alignment horizontal="center" vertical="center" wrapText="1"/>
      <protection/>
    </xf>
    <xf numFmtId="3" fontId="61" fillId="0" borderId="64" xfId="1612" applyNumberFormat="1" applyFont="1" applyFill="1" applyBorder="1" applyAlignment="1" applyProtection="1">
      <alignment horizontal="center" vertical="center"/>
      <protection hidden="1"/>
    </xf>
    <xf numFmtId="3" fontId="61" fillId="0" borderId="83" xfId="1612" applyNumberFormat="1" applyFont="1" applyFill="1" applyBorder="1" applyAlignment="1" applyProtection="1">
      <alignment horizontal="center" vertical="center"/>
      <protection hidden="1"/>
    </xf>
    <xf numFmtId="3" fontId="61" fillId="0" borderId="65" xfId="1612" applyNumberFormat="1" applyFont="1" applyFill="1" applyBorder="1" applyAlignment="1" applyProtection="1">
      <alignment horizontal="center" vertical="center"/>
      <protection hidden="1"/>
    </xf>
    <xf numFmtId="3" fontId="62" fillId="0" borderId="83" xfId="1612" applyNumberFormat="1" applyFont="1" applyFill="1" applyBorder="1" applyAlignment="1" applyProtection="1">
      <alignment horizontal="center" vertical="center"/>
      <protection hidden="1"/>
    </xf>
    <xf numFmtId="3" fontId="62" fillId="0" borderId="65" xfId="1612" applyNumberFormat="1" applyFont="1" applyFill="1" applyBorder="1" applyAlignment="1" applyProtection="1">
      <alignment horizontal="center" vertical="center"/>
      <protection hidden="1"/>
    </xf>
    <xf numFmtId="3" fontId="61" fillId="0" borderId="45" xfId="1612" applyNumberFormat="1" applyFont="1" applyFill="1" applyBorder="1" applyAlignment="1" applyProtection="1">
      <alignment horizontal="center" vertical="center"/>
      <protection hidden="1"/>
    </xf>
    <xf numFmtId="3" fontId="61" fillId="77" borderId="83" xfId="1612" applyNumberFormat="1" applyFont="1" applyFill="1" applyBorder="1" applyAlignment="1" applyProtection="1">
      <alignment horizontal="center" vertical="center"/>
      <protection hidden="1"/>
    </xf>
    <xf numFmtId="3" fontId="61" fillId="77" borderId="65" xfId="1612" applyNumberFormat="1" applyFont="1" applyFill="1" applyBorder="1" applyAlignment="1" applyProtection="1">
      <alignment horizontal="center" vertical="center"/>
      <protection hidden="1"/>
    </xf>
    <xf numFmtId="3" fontId="63" fillId="77" borderId="83" xfId="1612" applyNumberFormat="1" applyFont="1" applyFill="1" applyBorder="1" applyAlignment="1" applyProtection="1">
      <alignment horizontal="center" vertical="center"/>
      <protection hidden="1"/>
    </xf>
    <xf numFmtId="3" fontId="63" fillId="77" borderId="65" xfId="1612" applyNumberFormat="1" applyFont="1" applyFill="1" applyBorder="1" applyAlignment="1" applyProtection="1">
      <alignment horizontal="center" vertical="center"/>
      <protection hidden="1"/>
    </xf>
    <xf numFmtId="3" fontId="63" fillId="77" borderId="88" xfId="1612" applyNumberFormat="1" applyFont="1" applyFill="1" applyBorder="1" applyAlignment="1" applyProtection="1">
      <alignment horizontal="center" vertical="center"/>
      <protection hidden="1"/>
    </xf>
    <xf numFmtId="3" fontId="63" fillId="77" borderId="75" xfId="1612" applyNumberFormat="1" applyFont="1" applyFill="1" applyBorder="1" applyAlignment="1" applyProtection="1">
      <alignment horizontal="center" vertical="center"/>
      <protection hidden="1"/>
    </xf>
    <xf numFmtId="3" fontId="63" fillId="77" borderId="84" xfId="1612" applyNumberFormat="1" applyFont="1" applyFill="1" applyBorder="1" applyAlignment="1" applyProtection="1">
      <alignment horizontal="center" vertical="center"/>
      <protection hidden="1"/>
    </xf>
    <xf numFmtId="3" fontId="63" fillId="77" borderId="46" xfId="1612" applyNumberFormat="1" applyFont="1" applyFill="1" applyBorder="1" applyAlignment="1" applyProtection="1">
      <alignment horizontal="center" vertical="center"/>
      <protection hidden="1"/>
    </xf>
    <xf numFmtId="0" fontId="0" fillId="0" borderId="0" xfId="1335" applyNumberFormat="1" applyFont="1">
      <alignment/>
      <protection/>
    </xf>
    <xf numFmtId="0" fontId="0" fillId="0" borderId="0" xfId="1335" applyNumberFormat="1" applyFont="1" quotePrefix="1">
      <alignment/>
      <protection/>
    </xf>
    <xf numFmtId="0" fontId="0" fillId="0" borderId="0" xfId="1335" applyNumberFormat="1" quotePrefix="1">
      <alignment/>
      <protection/>
    </xf>
    <xf numFmtId="0" fontId="64" fillId="0" borderId="89" xfId="1319" applyFont="1" applyFill="1" applyBorder="1" applyAlignment="1">
      <alignment vertical="center"/>
      <protection/>
    </xf>
    <xf numFmtId="167" fontId="98" fillId="0" borderId="0" xfId="0" applyNumberFormat="1" applyFont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 wrapText="1"/>
    </xf>
    <xf numFmtId="0" fontId="101" fillId="0" borderId="0" xfId="0" applyFont="1" applyBorder="1" applyAlignment="1">
      <alignment horizontal="center" vertical="center"/>
    </xf>
    <xf numFmtId="0" fontId="110" fillId="78" borderId="89" xfId="0" applyFont="1" applyFill="1" applyBorder="1" applyAlignment="1">
      <alignment horizontal="center" vertical="center"/>
    </xf>
    <xf numFmtId="0" fontId="103" fillId="0" borderId="89" xfId="0" applyFont="1" applyBorder="1" applyAlignment="1">
      <alignment vertical="center"/>
    </xf>
    <xf numFmtId="0" fontId="103" fillId="0" borderId="89" xfId="0" applyFont="1" applyBorder="1" applyAlignment="1">
      <alignment horizontal="center" vertical="center"/>
    </xf>
    <xf numFmtId="0" fontId="103" fillId="0" borderId="89" xfId="0" applyFont="1" applyBorder="1" applyAlignment="1">
      <alignment horizontal="left" vertical="center"/>
    </xf>
    <xf numFmtId="0" fontId="61" fillId="0" borderId="90" xfId="0" applyFont="1" applyFill="1" applyBorder="1" applyAlignment="1">
      <alignment horizontal="center" vertical="center"/>
    </xf>
    <xf numFmtId="0" fontId="99" fillId="0" borderId="91" xfId="0" applyFont="1" applyBorder="1" applyAlignment="1">
      <alignment horizontal="right" vertical="center"/>
    </xf>
    <xf numFmtId="0" fontId="65" fillId="0" borderId="0" xfId="1322" applyFont="1" applyFill="1" applyBorder="1" applyAlignment="1">
      <alignment horizontal="center" vertical="center" wrapText="1"/>
      <protection/>
    </xf>
    <xf numFmtId="0" fontId="62" fillId="0" borderId="0" xfId="1322" applyFont="1" applyFill="1" applyBorder="1" applyAlignment="1">
      <alignment horizontal="center" vertical="center" wrapText="1"/>
      <protection/>
    </xf>
    <xf numFmtId="0" fontId="66" fillId="0" borderId="0" xfId="0" applyFont="1" applyFill="1" applyBorder="1" applyAlignment="1">
      <alignment horizontal="center" vertical="center"/>
    </xf>
    <xf numFmtId="0" fontId="66" fillId="0" borderId="0" xfId="1322" applyFont="1" applyFill="1" applyBorder="1" applyAlignment="1">
      <alignment horizontal="center" vertical="center" wrapText="1"/>
      <protection/>
    </xf>
    <xf numFmtId="0" fontId="14" fillId="0" borderId="0" xfId="1322" applyFont="1" applyFill="1" applyBorder="1" applyAlignment="1">
      <alignment horizontal="center" vertical="center" wrapText="1"/>
      <protection/>
    </xf>
    <xf numFmtId="0" fontId="101" fillId="0" borderId="0" xfId="0" applyFont="1" applyAlignment="1">
      <alignment vertical="center"/>
    </xf>
    <xf numFmtId="0" fontId="101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100" fillId="0" borderId="0" xfId="0" applyFont="1" applyAlignment="1">
      <alignment vertical="center"/>
    </xf>
    <xf numFmtId="0" fontId="101" fillId="78" borderId="89" xfId="0" applyFont="1" applyFill="1" applyBorder="1" applyAlignment="1">
      <alignment horizontal="center" vertical="center"/>
    </xf>
    <xf numFmtId="0" fontId="100" fillId="0" borderId="26" xfId="0" applyFont="1" applyFill="1" applyBorder="1" applyAlignment="1">
      <alignment horizontal="center" vertical="center" wrapText="1"/>
    </xf>
    <xf numFmtId="3" fontId="62" fillId="0" borderId="65" xfId="1612" applyNumberFormat="1" applyFont="1" applyFill="1" applyBorder="1" applyAlignment="1">
      <alignment horizontal="center" vertical="center"/>
    </xf>
    <xf numFmtId="0" fontId="114" fillId="85" borderId="0" xfId="0" applyFont="1" applyFill="1" applyAlignment="1">
      <alignment vertical="center"/>
    </xf>
    <xf numFmtId="0" fontId="98" fillId="0" borderId="26" xfId="0" applyFont="1" applyBorder="1" applyAlignment="1">
      <alignment horizontal="center" vertical="center" wrapText="1"/>
    </xf>
    <xf numFmtId="0" fontId="98" fillId="0" borderId="26" xfId="0" applyFont="1" applyBorder="1" applyAlignment="1">
      <alignment vertical="center"/>
    </xf>
    <xf numFmtId="0" fontId="61" fillId="77" borderId="26" xfId="0" applyFont="1" applyFill="1" applyBorder="1" applyAlignment="1">
      <alignment horizontal="center" vertical="center"/>
    </xf>
    <xf numFmtId="0" fontId="103" fillId="77" borderId="26" xfId="0" applyFont="1" applyFill="1" applyBorder="1" applyAlignment="1">
      <alignment horizontal="center" vertical="center"/>
    </xf>
    <xf numFmtId="0" fontId="101" fillId="0" borderId="26" xfId="0" applyFont="1" applyBorder="1" applyAlignment="1">
      <alignment horizontal="center" vertical="center"/>
    </xf>
    <xf numFmtId="3" fontId="61" fillId="0" borderId="26" xfId="1612" applyNumberFormat="1" applyFont="1" applyFill="1" applyBorder="1" applyAlignment="1">
      <alignment horizontal="center" vertical="center"/>
    </xf>
    <xf numFmtId="167" fontId="63" fillId="0" borderId="26" xfId="1612" applyNumberFormat="1" applyFont="1" applyFill="1" applyBorder="1" applyAlignment="1">
      <alignment horizontal="left" vertical="center"/>
    </xf>
    <xf numFmtId="167" fontId="63" fillId="0" borderId="26" xfId="1612" applyNumberFormat="1" applyFont="1" applyFill="1" applyBorder="1" applyAlignment="1">
      <alignment horizontal="center" vertical="center"/>
    </xf>
    <xf numFmtId="167" fontId="61" fillId="0" borderId="26" xfId="1612" applyNumberFormat="1" applyFont="1" applyFill="1" applyBorder="1" applyAlignment="1">
      <alignment horizontal="left" vertical="center"/>
    </xf>
    <xf numFmtId="167" fontId="61" fillId="0" borderId="26" xfId="1612" applyNumberFormat="1" applyFont="1" applyFill="1" applyBorder="1" applyAlignment="1">
      <alignment horizontal="center" vertical="center"/>
    </xf>
    <xf numFmtId="0" fontId="61" fillId="77" borderId="52" xfId="0" applyFont="1" applyFill="1" applyBorder="1" applyAlignment="1">
      <alignment vertical="center" wrapText="1"/>
    </xf>
    <xf numFmtId="0" fontId="103" fillId="77" borderId="27" xfId="0" applyFont="1" applyFill="1" applyBorder="1" applyAlignment="1">
      <alignment horizontal="center" vertical="center"/>
    </xf>
    <xf numFmtId="0" fontId="103" fillId="77" borderId="57" xfId="0" applyFont="1" applyFill="1" applyBorder="1" applyAlignment="1">
      <alignment horizontal="center" vertical="center"/>
    </xf>
    <xf numFmtId="0" fontId="61" fillId="0" borderId="52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vertical="center" wrapText="1"/>
    </xf>
    <xf numFmtId="0" fontId="101" fillId="0" borderId="27" xfId="0" applyFont="1" applyBorder="1" applyAlignment="1">
      <alignment horizontal="center" vertical="center"/>
    </xf>
    <xf numFmtId="0" fontId="101" fillId="0" borderId="57" xfId="0" applyFont="1" applyBorder="1" applyAlignment="1">
      <alignment horizontal="center" vertical="center"/>
    </xf>
    <xf numFmtId="0" fontId="61" fillId="0" borderId="45" xfId="0" applyFont="1" applyFill="1" applyBorder="1" applyAlignment="1">
      <alignment horizontal="center" vertical="center" wrapText="1"/>
    </xf>
    <xf numFmtId="0" fontId="98" fillId="0" borderId="45" xfId="0" applyFont="1" applyFill="1" applyBorder="1" applyAlignment="1">
      <alignment vertical="center"/>
    </xf>
    <xf numFmtId="3" fontId="63" fillId="0" borderId="45" xfId="1612" applyNumberFormat="1" applyFont="1" applyFill="1" applyBorder="1" applyAlignment="1">
      <alignment horizontal="center" vertical="center"/>
    </xf>
    <xf numFmtId="3" fontId="61" fillId="0" borderId="45" xfId="1612" applyNumberFormat="1" applyFont="1" applyFill="1" applyBorder="1" applyAlignment="1">
      <alignment horizontal="center" vertical="center"/>
    </xf>
    <xf numFmtId="0" fontId="101" fillId="0" borderId="65" xfId="0" applyFont="1" applyFill="1" applyBorder="1" applyAlignment="1">
      <alignment horizontal="center" vertical="center"/>
    </xf>
    <xf numFmtId="0" fontId="100" fillId="0" borderId="65" xfId="0" applyFont="1" applyFill="1" applyBorder="1" applyAlignment="1">
      <alignment horizontal="left" vertical="center" wrapText="1" indent="2"/>
    </xf>
    <xf numFmtId="0" fontId="100" fillId="0" borderId="65" xfId="0" applyFont="1" applyFill="1" applyBorder="1" applyAlignment="1">
      <alignment horizontal="left" vertical="center" indent="2"/>
    </xf>
    <xf numFmtId="0" fontId="61" fillId="0" borderId="65" xfId="0" applyFont="1" applyFill="1" applyBorder="1" applyAlignment="1">
      <alignment horizontal="center" vertical="center" wrapText="1"/>
    </xf>
    <xf numFmtId="0" fontId="98" fillId="0" borderId="65" xfId="0" applyFont="1" applyBorder="1" applyAlignment="1">
      <alignment vertical="center"/>
    </xf>
    <xf numFmtId="3" fontId="63" fillId="0" borderId="65" xfId="1612" applyNumberFormat="1" applyFont="1" applyFill="1" applyBorder="1" applyAlignment="1">
      <alignment horizontal="center" vertical="center"/>
    </xf>
    <xf numFmtId="3" fontId="61" fillId="0" borderId="65" xfId="1612" applyNumberFormat="1" applyFont="1" applyFill="1" applyBorder="1" applyAlignment="1">
      <alignment horizontal="center" vertical="center"/>
    </xf>
    <xf numFmtId="0" fontId="61" fillId="0" borderId="46" xfId="0" applyFont="1" applyFill="1" applyBorder="1" applyAlignment="1">
      <alignment horizontal="center" vertical="center" wrapText="1"/>
    </xf>
    <xf numFmtId="0" fontId="98" fillId="0" borderId="46" xfId="0" applyFont="1" applyBorder="1" applyAlignment="1">
      <alignment vertical="center"/>
    </xf>
    <xf numFmtId="3" fontId="63" fillId="0" borderId="46" xfId="1612" applyNumberFormat="1" applyFont="1" applyFill="1" applyBorder="1" applyAlignment="1">
      <alignment horizontal="center" vertical="center"/>
    </xf>
    <xf numFmtId="3" fontId="61" fillId="0" borderId="46" xfId="1612" applyNumberFormat="1" applyFont="1" applyFill="1" applyBorder="1" applyAlignment="1">
      <alignment horizontal="center" vertical="center"/>
    </xf>
    <xf numFmtId="0" fontId="98" fillId="0" borderId="45" xfId="0" applyFont="1" applyBorder="1" applyAlignment="1">
      <alignment vertical="center"/>
    </xf>
    <xf numFmtId="0" fontId="98" fillId="0" borderId="65" xfId="0" applyFont="1" applyFill="1" applyBorder="1" applyAlignment="1">
      <alignment vertical="center"/>
    </xf>
    <xf numFmtId="0" fontId="98" fillId="0" borderId="46" xfId="0" applyFont="1" applyFill="1" applyBorder="1" applyAlignment="1">
      <alignment vertical="center"/>
    </xf>
    <xf numFmtId="0" fontId="100" fillId="0" borderId="65" xfId="0" applyFont="1" applyBorder="1" applyAlignment="1">
      <alignment horizontal="left" vertical="center" indent="2"/>
    </xf>
    <xf numFmtId="0" fontId="98" fillId="0" borderId="65" xfId="0" applyFont="1" applyFill="1" applyBorder="1" applyAlignment="1">
      <alignment horizontal="center" vertical="center"/>
    </xf>
    <xf numFmtId="0" fontId="98" fillId="0" borderId="46" xfId="0" applyFont="1" applyFill="1" applyBorder="1" applyAlignment="1">
      <alignment horizontal="center" vertical="center"/>
    </xf>
    <xf numFmtId="0" fontId="100" fillId="0" borderId="46" xfId="0" applyFont="1" applyFill="1" applyBorder="1" applyAlignment="1">
      <alignment horizontal="left" vertical="center" indent="2"/>
    </xf>
    <xf numFmtId="3" fontId="62" fillId="0" borderId="46" xfId="1612" applyNumberFormat="1" applyFont="1" applyFill="1" applyBorder="1" applyAlignment="1">
      <alignment horizontal="center" vertical="center"/>
    </xf>
    <xf numFmtId="3" fontId="68" fillId="0" borderId="45" xfId="1612" applyNumberFormat="1" applyFont="1" applyFill="1" applyBorder="1" applyAlignment="1">
      <alignment horizontal="center" vertical="center"/>
    </xf>
    <xf numFmtId="0" fontId="100" fillId="0" borderId="65" xfId="0" applyFont="1" applyFill="1" applyBorder="1" applyAlignment="1">
      <alignment horizontal="left" vertical="center" indent="4"/>
    </xf>
    <xf numFmtId="0" fontId="100" fillId="0" borderId="46" xfId="0" applyFont="1" applyBorder="1" applyAlignment="1">
      <alignment horizontal="left" vertical="center" indent="2"/>
    </xf>
    <xf numFmtId="0" fontId="0" fillId="0" borderId="0" xfId="0" applyAlignment="1" quotePrefix="1">
      <alignment/>
    </xf>
    <xf numFmtId="0" fontId="0" fillId="0" borderId="0" xfId="1335" applyFont="1">
      <alignment/>
      <protection/>
    </xf>
    <xf numFmtId="16" fontId="0" fillId="0" borderId="0" xfId="1335" applyNumberFormat="1" applyFont="1" quotePrefix="1">
      <alignment/>
      <protection/>
    </xf>
    <xf numFmtId="0" fontId="92" fillId="2" borderId="52" xfId="0" applyFont="1" applyFill="1" applyBorder="1" applyAlignment="1" applyProtection="1">
      <alignment horizontal="center" vertical="center" wrapText="1"/>
      <protection/>
    </xf>
    <xf numFmtId="0" fontId="92" fillId="2" borderId="92" xfId="0" applyFont="1" applyFill="1" applyBorder="1" applyAlignment="1" applyProtection="1">
      <alignment horizontal="center" vertical="center" wrapText="1"/>
      <protection/>
    </xf>
    <xf numFmtId="0" fontId="92" fillId="2" borderId="93" xfId="0" applyFont="1" applyFill="1" applyBorder="1" applyAlignment="1" applyProtection="1">
      <alignment horizontal="center" vertical="center" wrapText="1"/>
      <protection/>
    </xf>
    <xf numFmtId="0" fontId="92" fillId="2" borderId="94" xfId="0" applyFont="1" applyFill="1" applyBorder="1" applyAlignment="1" applyProtection="1">
      <alignment horizontal="center" vertical="center" wrapText="1"/>
      <protection/>
    </xf>
    <xf numFmtId="3" fontId="53" fillId="2" borderId="57" xfId="0" applyNumberFormat="1" applyFont="1" applyFill="1" applyBorder="1" applyAlignment="1" applyProtection="1">
      <alignment horizontal="center" vertical="center" wrapText="1"/>
      <protection/>
    </xf>
    <xf numFmtId="3" fontId="12" fillId="67" borderId="67" xfId="210" applyNumberFormat="1" applyFont="1" applyFill="1" applyBorder="1" applyAlignment="1" applyProtection="1">
      <alignment horizontal="center" vertical="center" wrapText="1"/>
      <protection locked="0"/>
    </xf>
    <xf numFmtId="3" fontId="93" fillId="67" borderId="95" xfId="210" applyNumberFormat="1" applyFont="1" applyFill="1" applyBorder="1" applyAlignment="1" applyProtection="1">
      <alignment horizontal="center" vertical="center" wrapText="1"/>
      <protection locked="0"/>
    </xf>
    <xf numFmtId="3" fontId="12" fillId="67" borderId="96" xfId="210" applyNumberFormat="1" applyFont="1" applyFill="1" applyBorder="1" applyAlignment="1" applyProtection="1">
      <alignment horizontal="center" vertical="center" wrapText="1"/>
      <protection locked="0"/>
    </xf>
    <xf numFmtId="3" fontId="12" fillId="67" borderId="70" xfId="210" applyNumberFormat="1" applyFont="1" applyFill="1" applyBorder="1" applyAlignment="1" applyProtection="1">
      <alignment horizontal="center" vertical="center" wrapText="1"/>
      <protection locked="0"/>
    </xf>
    <xf numFmtId="3" fontId="93" fillId="67" borderId="97" xfId="210" applyNumberFormat="1" applyFont="1" applyFill="1" applyBorder="1" applyAlignment="1" applyProtection="1">
      <alignment horizontal="center" vertical="center" wrapText="1"/>
      <protection locked="0"/>
    </xf>
    <xf numFmtId="3" fontId="12" fillId="67" borderId="98" xfId="210" applyNumberFormat="1" applyFont="1" applyFill="1" applyBorder="1" applyAlignment="1" applyProtection="1">
      <alignment horizontal="center" vertical="center" wrapText="1"/>
      <protection locked="0"/>
    </xf>
    <xf numFmtId="3" fontId="12" fillId="2" borderId="48" xfId="0" applyNumberFormat="1" applyFont="1" applyFill="1" applyBorder="1" applyAlignment="1" applyProtection="1">
      <alignment horizontal="center" vertical="center" wrapText="1"/>
      <protection/>
    </xf>
    <xf numFmtId="3" fontId="12" fillId="2" borderId="99" xfId="0" applyNumberFormat="1" applyFont="1" applyFill="1" applyBorder="1" applyAlignment="1" applyProtection="1">
      <alignment horizontal="center" vertical="center" wrapText="1"/>
      <protection/>
    </xf>
    <xf numFmtId="3" fontId="12" fillId="2" borderId="100" xfId="0" applyNumberFormat="1" applyFont="1" applyFill="1" applyBorder="1" applyAlignment="1" applyProtection="1">
      <alignment horizontal="center" vertical="center" wrapText="1"/>
      <protection/>
    </xf>
    <xf numFmtId="3" fontId="12" fillId="2" borderId="63" xfId="0" applyNumberFormat="1" applyFont="1" applyFill="1" applyBorder="1" applyAlignment="1" applyProtection="1">
      <alignment horizontal="center" vertical="center" wrapText="1"/>
      <protection/>
    </xf>
    <xf numFmtId="3" fontId="93" fillId="67" borderId="67" xfId="210" applyNumberFormat="1" applyFont="1" applyFill="1" applyBorder="1" applyAlignment="1" applyProtection="1">
      <alignment horizontal="center" vertical="center" wrapText="1"/>
      <protection locked="0"/>
    </xf>
    <xf numFmtId="3" fontId="93" fillId="67" borderId="73" xfId="210" applyNumberFormat="1" applyFont="1" applyFill="1" applyBorder="1" applyAlignment="1" applyProtection="1">
      <alignment horizontal="center" vertical="center" wrapText="1"/>
      <protection locked="0"/>
    </xf>
    <xf numFmtId="3" fontId="93" fillId="84" borderId="46" xfId="210" applyNumberFormat="1" applyFont="1" applyFill="1" applyBorder="1" applyAlignment="1" applyProtection="1">
      <alignment horizontal="center" vertical="center" wrapText="1"/>
      <protection/>
    </xf>
    <xf numFmtId="3" fontId="93" fillId="0" borderId="26" xfId="210" applyNumberFormat="1" applyFont="1" applyFill="1" applyBorder="1" applyAlignment="1" applyProtection="1">
      <alignment horizontal="center" vertical="center" wrapText="1"/>
      <protection/>
    </xf>
    <xf numFmtId="3" fontId="12" fillId="84" borderId="26" xfId="0" applyNumberFormat="1" applyFont="1" applyFill="1" applyBorder="1" applyAlignment="1" applyProtection="1">
      <alignment horizontal="center" vertical="center" wrapText="1"/>
      <protection/>
    </xf>
    <xf numFmtId="3" fontId="109" fillId="0" borderId="0" xfId="0" applyNumberFormat="1" applyFont="1" applyBorder="1" applyAlignment="1" applyProtection="1">
      <alignment/>
      <protection/>
    </xf>
    <xf numFmtId="3" fontId="12" fillId="67" borderId="66" xfId="210" applyNumberFormat="1" applyFont="1" applyFill="1" applyBorder="1" applyAlignment="1" applyProtection="1">
      <alignment horizontal="center" vertical="center" wrapText="1"/>
      <protection locked="0"/>
    </xf>
    <xf numFmtId="3" fontId="93" fillId="84" borderId="95" xfId="210" applyNumberFormat="1" applyFont="1" applyFill="1" applyBorder="1" applyAlignment="1" applyProtection="1">
      <alignment horizontal="center" vertical="center" wrapText="1"/>
      <protection/>
    </xf>
    <xf numFmtId="3" fontId="93" fillId="0" borderId="101" xfId="210" applyNumberFormat="1" applyFont="1" applyFill="1" applyBorder="1" applyAlignment="1" applyProtection="1">
      <alignment horizontal="center" vertical="center" wrapText="1"/>
      <protection/>
    </xf>
    <xf numFmtId="3" fontId="93" fillId="0" borderId="95" xfId="210" applyNumberFormat="1" applyFont="1" applyFill="1" applyBorder="1" applyAlignment="1" applyProtection="1">
      <alignment horizontal="center" vertical="center" wrapText="1"/>
      <protection/>
    </xf>
    <xf numFmtId="3" fontId="93" fillId="84" borderId="102" xfId="210" applyNumberFormat="1" applyFont="1" applyFill="1" applyBorder="1" applyAlignment="1" applyProtection="1">
      <alignment horizontal="center" vertical="center" wrapText="1"/>
      <protection/>
    </xf>
    <xf numFmtId="0" fontId="109" fillId="84" borderId="45" xfId="0" applyFont="1" applyFill="1" applyBorder="1" applyAlignment="1" applyProtection="1">
      <alignment/>
      <protection/>
    </xf>
    <xf numFmtId="0" fontId="109" fillId="84" borderId="96" xfId="0" applyFont="1" applyFill="1" applyBorder="1" applyAlignment="1" applyProtection="1">
      <alignment/>
      <protection/>
    </xf>
    <xf numFmtId="3" fontId="93" fillId="84" borderId="103" xfId="210" applyNumberFormat="1" applyFont="1" applyFill="1" applyBorder="1" applyAlignment="1" applyProtection="1">
      <alignment horizontal="center" vertical="center" wrapText="1"/>
      <protection/>
    </xf>
    <xf numFmtId="0" fontId="109" fillId="84" borderId="104" xfId="0" applyFont="1" applyFill="1" applyBorder="1" applyAlignment="1" applyProtection="1">
      <alignment/>
      <protection/>
    </xf>
    <xf numFmtId="0" fontId="109" fillId="84" borderId="105" xfId="0" applyFont="1" applyFill="1" applyBorder="1" applyAlignment="1" applyProtection="1">
      <alignment/>
      <protection/>
    </xf>
    <xf numFmtId="3" fontId="12" fillId="67" borderId="29" xfId="210" applyNumberFormat="1" applyFont="1" applyFill="1" applyBorder="1" applyAlignment="1" applyProtection="1">
      <alignment horizontal="center" vertical="center" wrapText="1"/>
      <protection locked="0"/>
    </xf>
    <xf numFmtId="3" fontId="93" fillId="67" borderId="29" xfId="210" applyNumberFormat="1" applyFont="1" applyFill="1" applyBorder="1" applyAlignment="1" applyProtection="1">
      <alignment horizontal="center" vertical="center" wrapText="1"/>
      <protection locked="0"/>
    </xf>
    <xf numFmtId="3" fontId="12" fillId="67" borderId="49" xfId="210" applyNumberFormat="1" applyFont="1" applyFill="1" applyBorder="1" applyAlignment="1" applyProtection="1">
      <alignment horizontal="center" vertical="center" wrapText="1"/>
      <protection locked="0"/>
    </xf>
    <xf numFmtId="3" fontId="12" fillId="0" borderId="26" xfId="210" applyNumberFormat="1" applyFont="1" applyFill="1" applyBorder="1" applyAlignment="1" applyProtection="1">
      <alignment horizontal="center" vertical="center" wrapText="1"/>
      <protection/>
    </xf>
    <xf numFmtId="3" fontId="12" fillId="84" borderId="26" xfId="21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Font="1" applyAlignment="1" applyProtection="1">
      <alignment/>
      <protection hidden="1"/>
    </xf>
    <xf numFmtId="0" fontId="76" fillId="0" borderId="0" xfId="0" applyFont="1" applyFill="1" applyBorder="1" applyAlignment="1" applyProtection="1">
      <alignment/>
      <protection hidden="1"/>
    </xf>
    <xf numFmtId="0" fontId="11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2" fillId="2" borderId="47" xfId="0" applyFont="1" applyFill="1" applyBorder="1" applyAlignment="1" applyProtection="1">
      <alignment horizontal="center" vertical="center" wrapText="1"/>
      <protection hidden="1"/>
    </xf>
    <xf numFmtId="0" fontId="92" fillId="2" borderId="26" xfId="0" applyFont="1" applyFill="1" applyBorder="1" applyAlignment="1" applyProtection="1">
      <alignment horizontal="center" vertical="center" wrapText="1"/>
      <protection hidden="1"/>
    </xf>
    <xf numFmtId="3" fontId="53" fillId="2" borderId="26" xfId="0" applyNumberFormat="1" applyFont="1" applyFill="1" applyBorder="1" applyAlignment="1" applyProtection="1">
      <alignment horizontal="center" vertical="center" wrapText="1"/>
      <protection hidden="1"/>
    </xf>
    <xf numFmtId="3" fontId="12" fillId="61" borderId="29" xfId="210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Alignment="1" applyProtection="1">
      <alignment/>
      <protection/>
    </xf>
    <xf numFmtId="0" fontId="107" fillId="0" borderId="0" xfId="0" applyFont="1" applyAlignment="1" applyProtection="1">
      <alignment horizontal="center" vertical="center" wrapText="1"/>
      <protection/>
    </xf>
    <xf numFmtId="0" fontId="116" fillId="0" borderId="0" xfId="0" applyFont="1" applyAlignment="1" applyProtection="1">
      <alignment/>
      <protection/>
    </xf>
    <xf numFmtId="0" fontId="115" fillId="0" borderId="0" xfId="0" applyFont="1" applyBorder="1" applyAlignment="1" applyProtection="1">
      <alignment/>
      <protection/>
    </xf>
    <xf numFmtId="3" fontId="61" fillId="44" borderId="45" xfId="1612" applyNumberFormat="1" applyFont="1" applyFill="1" applyBorder="1" applyAlignment="1">
      <alignment horizontal="center" vertical="center"/>
    </xf>
    <xf numFmtId="0" fontId="71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 wrapText="1"/>
      <protection/>
    </xf>
    <xf numFmtId="0" fontId="73" fillId="0" borderId="0" xfId="0" applyFont="1" applyAlignment="1" applyProtection="1">
      <alignment/>
      <protection/>
    </xf>
    <xf numFmtId="0" fontId="71" fillId="0" borderId="0" xfId="0" applyFont="1" applyAlignment="1" applyProtection="1">
      <alignment horizontal="center" vertical="center" wrapText="1"/>
      <protection/>
    </xf>
    <xf numFmtId="0" fontId="74" fillId="0" borderId="0" xfId="0" applyFont="1" applyAlignment="1" applyProtection="1">
      <alignment horizontal="center"/>
      <protection/>
    </xf>
    <xf numFmtId="0" fontId="101" fillId="0" borderId="0" xfId="0" applyFont="1" applyAlignment="1">
      <alignment/>
    </xf>
    <xf numFmtId="0" fontId="89" fillId="0" borderId="4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" fontId="12" fillId="67" borderId="26" xfId="210" applyNumberFormat="1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Alignment="1">
      <alignment/>
    </xf>
    <xf numFmtId="0" fontId="75" fillId="0" borderId="26" xfId="0" applyFont="1" applyFill="1" applyBorder="1" applyAlignment="1">
      <alignment vertical="center"/>
    </xf>
    <xf numFmtId="3" fontId="116" fillId="86" borderId="30" xfId="0" applyNumberFormat="1" applyFont="1" applyFill="1" applyBorder="1" applyAlignment="1">
      <alignment horizontal="center" vertical="center" wrapText="1"/>
    </xf>
    <xf numFmtId="0" fontId="96" fillId="86" borderId="48" xfId="0" applyFont="1" applyFill="1" applyBorder="1" applyAlignment="1">
      <alignment vertical="center"/>
    </xf>
    <xf numFmtId="0" fontId="96" fillId="86" borderId="52" xfId="0" applyFont="1" applyFill="1" applyBorder="1" applyAlignment="1">
      <alignment vertical="center"/>
    </xf>
    <xf numFmtId="0" fontId="96" fillId="86" borderId="48" xfId="0" applyFont="1" applyFill="1" applyBorder="1" applyAlignment="1">
      <alignment vertical="center"/>
    </xf>
    <xf numFmtId="0" fontId="100" fillId="0" borderId="106" xfId="0" applyFont="1" applyFill="1" applyBorder="1" applyAlignment="1">
      <alignment horizontal="left" vertical="center" wrapText="1" indent="2"/>
    </xf>
    <xf numFmtId="0" fontId="98" fillId="0" borderId="36" xfId="0" applyFont="1" applyBorder="1" applyAlignment="1">
      <alignment vertical="center" wrapText="1"/>
    </xf>
    <xf numFmtId="0" fontId="0" fillId="0" borderId="0" xfId="0" applyAlignment="1">
      <alignment/>
    </xf>
    <xf numFmtId="0" fontId="100" fillId="0" borderId="36" xfId="0" applyFont="1" applyBorder="1" applyAlignment="1">
      <alignment horizontal="left" vertical="center"/>
    </xf>
    <xf numFmtId="0" fontId="100" fillId="0" borderId="36" xfId="0" applyFont="1" applyBorder="1" applyAlignment="1">
      <alignment horizontal="left" vertical="center" indent="2"/>
    </xf>
    <xf numFmtId="0" fontId="100" fillId="0" borderId="35" xfId="0" applyFont="1" applyFill="1" applyBorder="1" applyAlignment="1">
      <alignment horizontal="left" vertical="center"/>
    </xf>
    <xf numFmtId="3" fontId="10" fillId="76" borderId="52" xfId="0" applyNumberFormat="1" applyFont="1" applyFill="1" applyBorder="1" applyAlignment="1">
      <alignment horizontal="center" vertical="center"/>
    </xf>
    <xf numFmtId="3" fontId="10" fillId="76" borderId="26" xfId="0" applyNumberFormat="1" applyFont="1" applyFill="1" applyBorder="1" applyAlignment="1">
      <alignment horizontal="center" vertical="center"/>
    </xf>
    <xf numFmtId="0" fontId="101" fillId="0" borderId="26" xfId="0" applyFont="1" applyBorder="1" applyAlignment="1">
      <alignment horizontal="center" vertical="center" wrapText="1"/>
    </xf>
    <xf numFmtId="0" fontId="101" fillId="0" borderId="90" xfId="0" applyFont="1" applyBorder="1" applyAlignment="1">
      <alignment horizontal="center" vertical="center" wrapText="1"/>
    </xf>
    <xf numFmtId="0" fontId="98" fillId="0" borderId="26" xfId="0" applyFont="1" applyBorder="1" applyAlignment="1">
      <alignment horizontal="center" vertical="center"/>
    </xf>
    <xf numFmtId="3" fontId="12" fillId="13" borderId="45" xfId="535" applyNumberFormat="1" applyFont="1" applyFill="1" applyBorder="1" applyAlignment="1" applyProtection="1">
      <alignment horizontal="center" vertical="center" wrapText="1"/>
      <protection locked="0"/>
    </xf>
    <xf numFmtId="3" fontId="7" fillId="13" borderId="45" xfId="535" applyNumberFormat="1" applyFont="1" applyFill="1" applyBorder="1" applyAlignment="1" applyProtection="1">
      <alignment horizontal="center" vertical="center" wrapText="1"/>
      <protection locked="0"/>
    </xf>
    <xf numFmtId="3" fontId="7" fillId="13" borderId="65" xfId="535" applyNumberFormat="1" applyFont="1" applyFill="1" applyBorder="1" applyAlignment="1" applyProtection="1">
      <alignment horizontal="center" vertical="center" wrapText="1"/>
      <protection locked="0"/>
    </xf>
    <xf numFmtId="0" fontId="101" fillId="0" borderId="26" xfId="0" applyFont="1" applyBorder="1" applyAlignment="1">
      <alignment horizontal="center" vertical="center" wrapText="1"/>
    </xf>
    <xf numFmtId="0" fontId="101" fillId="0" borderId="90" xfId="0" applyFont="1" applyBorder="1" applyAlignment="1">
      <alignment horizontal="center" vertical="center" wrapText="1"/>
    </xf>
    <xf numFmtId="0" fontId="101" fillId="0" borderId="107" xfId="0" applyFont="1" applyBorder="1" applyAlignment="1">
      <alignment horizontal="center" vertical="center" wrapText="1"/>
    </xf>
    <xf numFmtId="0" fontId="101" fillId="0" borderId="9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98" fillId="0" borderId="26" xfId="0" applyFont="1" applyBorder="1" applyAlignment="1">
      <alignment horizontal="center" vertical="center"/>
    </xf>
    <xf numFmtId="0" fontId="98" fillId="0" borderId="108" xfId="0" applyFont="1" applyBorder="1" applyAlignment="1">
      <alignment horizontal="center" vertical="center"/>
    </xf>
    <xf numFmtId="0" fontId="98" fillId="0" borderId="27" xfId="0" applyFont="1" applyBorder="1" applyAlignment="1">
      <alignment horizontal="center" vertical="center"/>
    </xf>
    <xf numFmtId="0" fontId="98" fillId="0" borderId="57" xfId="0" applyFont="1" applyBorder="1" applyAlignment="1">
      <alignment horizontal="center" vertical="center"/>
    </xf>
    <xf numFmtId="0" fontId="92" fillId="77" borderId="109" xfId="0" applyFont="1" applyFill="1" applyBorder="1" applyAlignment="1">
      <alignment horizontal="left" vertical="center" wrapText="1"/>
    </xf>
    <xf numFmtId="0" fontId="92" fillId="77" borderId="110" xfId="0" applyFont="1" applyFill="1" applyBorder="1" applyAlignment="1">
      <alignment horizontal="left" vertical="center" wrapText="1"/>
    </xf>
    <xf numFmtId="3" fontId="53" fillId="77" borderId="87" xfId="1612" applyNumberFormat="1" applyFont="1" applyFill="1" applyBorder="1" applyAlignment="1" applyProtection="1">
      <alignment horizontal="center" vertical="center"/>
      <protection hidden="1"/>
    </xf>
    <xf numFmtId="3" fontId="53" fillId="77" borderId="79" xfId="1612" applyNumberFormat="1" applyFont="1" applyFill="1" applyBorder="1" applyAlignment="1" applyProtection="1">
      <alignment horizontal="center" vertical="center"/>
      <protection hidden="1"/>
    </xf>
    <xf numFmtId="0" fontId="92" fillId="0" borderId="62" xfId="0" applyFont="1" applyBorder="1" applyAlignment="1">
      <alignment horizontal="center" vertical="center" wrapText="1"/>
    </xf>
    <xf numFmtId="0" fontId="92" fillId="0" borderId="42" xfId="0" applyFont="1" applyBorder="1" applyAlignment="1">
      <alignment horizontal="center" vertical="center" wrapText="1"/>
    </xf>
    <xf numFmtId="0" fontId="92" fillId="0" borderId="43" xfId="0" applyFont="1" applyBorder="1" applyAlignment="1">
      <alignment horizontal="center" vertical="center" wrapText="1"/>
    </xf>
    <xf numFmtId="0" fontId="92" fillId="0" borderId="57" xfId="0" applyFont="1" applyBorder="1" applyAlignment="1">
      <alignment horizontal="center" vertical="center" wrapText="1"/>
    </xf>
    <xf numFmtId="0" fontId="92" fillId="0" borderId="26" xfId="0" applyFont="1" applyBorder="1" applyAlignment="1">
      <alignment horizontal="center" vertical="center" wrapText="1"/>
    </xf>
    <xf numFmtId="0" fontId="92" fillId="0" borderId="52" xfId="0" applyFont="1" applyBorder="1" applyAlignment="1">
      <alignment horizontal="center" vertical="center" wrapText="1"/>
    </xf>
    <xf numFmtId="0" fontId="97" fillId="0" borderId="52" xfId="0" applyFont="1" applyBorder="1" applyAlignment="1">
      <alignment horizontal="center" vertical="center"/>
    </xf>
    <xf numFmtId="3" fontId="6" fillId="81" borderId="47" xfId="534" applyNumberFormat="1" applyFont="1" applyFill="1" applyBorder="1" applyAlignment="1" applyProtection="1">
      <alignment horizontal="center" vertical="center" wrapText="1"/>
      <protection/>
    </xf>
    <xf numFmtId="3" fontId="6" fillId="81" borderId="49" xfId="534" applyNumberFormat="1" applyFont="1" applyFill="1" applyBorder="1" applyAlignment="1" applyProtection="1">
      <alignment horizontal="center" vertical="center" wrapText="1"/>
      <protection/>
    </xf>
    <xf numFmtId="0" fontId="89" fillId="0" borderId="47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0" fontId="89" fillId="0" borderId="49" xfId="0" applyFont="1" applyBorder="1" applyAlignment="1">
      <alignment horizontal="center" vertical="center" wrapText="1"/>
    </xf>
    <xf numFmtId="0" fontId="89" fillId="0" borderId="43" xfId="0" applyFont="1" applyBorder="1" applyAlignment="1">
      <alignment horizontal="center" vertical="center" wrapText="1"/>
    </xf>
    <xf numFmtId="0" fontId="89" fillId="0" borderId="25" xfId="0" applyFont="1" applyBorder="1" applyAlignment="1">
      <alignment horizontal="center" vertical="center" wrapText="1"/>
    </xf>
    <xf numFmtId="0" fontId="89" fillId="0" borderId="63" xfId="0" applyFont="1" applyBorder="1" applyAlignment="1">
      <alignment horizontal="center" vertical="center" wrapText="1"/>
    </xf>
    <xf numFmtId="0" fontId="89" fillId="0" borderId="62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89" fillId="0" borderId="48" xfId="0" applyFont="1" applyBorder="1" applyAlignment="1">
      <alignment horizontal="center" vertical="center" wrapText="1"/>
    </xf>
    <xf numFmtId="0" fontId="107" fillId="76" borderId="28" xfId="0" applyFont="1" applyFill="1" applyBorder="1" applyAlignment="1" applyProtection="1">
      <alignment horizontal="center" vertical="center"/>
      <protection/>
    </xf>
    <xf numFmtId="0" fontId="107" fillId="76" borderId="0" xfId="0" applyFont="1" applyFill="1" applyBorder="1" applyAlignment="1" applyProtection="1">
      <alignment horizontal="center" vertical="center"/>
      <protection/>
    </xf>
    <xf numFmtId="0" fontId="107" fillId="76" borderId="43" xfId="0" applyFont="1" applyFill="1" applyBorder="1" applyAlignment="1" applyProtection="1">
      <alignment horizontal="center" vertical="center"/>
      <protection/>
    </xf>
    <xf numFmtId="0" fontId="107" fillId="76" borderId="25" xfId="0" applyFont="1" applyFill="1" applyBorder="1" applyAlignment="1" applyProtection="1">
      <alignment horizontal="center" vertical="center"/>
      <protection/>
    </xf>
  </cellXfs>
  <cellStyles count="1607">
    <cellStyle name="Normal" xfId="0"/>
    <cellStyle name="20% - Colore 1" xfId="15"/>
    <cellStyle name="20% - Colore 1 2" xfId="16"/>
    <cellStyle name="20% - Colore 1 2 2" xfId="17"/>
    <cellStyle name="20% - Colore 1 2 3" xfId="18"/>
    <cellStyle name="20% - Colore 1 3" xfId="19"/>
    <cellStyle name="20% - Colore 2" xfId="20"/>
    <cellStyle name="20% - Colore 2 2" xfId="21"/>
    <cellStyle name="20% - Colore 2 2 2" xfId="22"/>
    <cellStyle name="20% - Colore 2 2 3" xfId="23"/>
    <cellStyle name="20% - Colore 2 3" xfId="24"/>
    <cellStyle name="20% - Colore 3" xfId="25"/>
    <cellStyle name="20% - Colore 3 2" xfId="26"/>
    <cellStyle name="20% - Colore 3 2 2" xfId="27"/>
    <cellStyle name="20% - Colore 3 2 3" xfId="28"/>
    <cellStyle name="20% - Colore 3 3" xfId="29"/>
    <cellStyle name="20% - Colore 4" xfId="30"/>
    <cellStyle name="20% - Colore 4 2" xfId="31"/>
    <cellStyle name="20% - Colore 4 2 2" xfId="32"/>
    <cellStyle name="20% - Colore 4 2 3" xfId="33"/>
    <cellStyle name="20% - Colore 4 3" xfId="34"/>
    <cellStyle name="20% - Colore 5" xfId="35"/>
    <cellStyle name="20% - Colore 5 2" xfId="36"/>
    <cellStyle name="20% - Colore 5 2 2" xfId="37"/>
    <cellStyle name="20% - Colore 6" xfId="38"/>
    <cellStyle name="20% - Colore 6 2" xfId="39"/>
    <cellStyle name="20% - Colore 6 2 2" xfId="40"/>
    <cellStyle name="40% - Colore 1" xfId="41"/>
    <cellStyle name="40% - Colore 1 2" xfId="42"/>
    <cellStyle name="40% - Colore 1 2 2" xfId="43"/>
    <cellStyle name="40% - Colore 1 2 3" xfId="44"/>
    <cellStyle name="40% - Colore 2" xfId="45"/>
    <cellStyle name="40% - Colore 2 2" xfId="46"/>
    <cellStyle name="40% - Colore 2 2 2" xfId="47"/>
    <cellStyle name="40% - Colore 3" xfId="48"/>
    <cellStyle name="40% - Colore 3 2" xfId="49"/>
    <cellStyle name="40% - Colore 3 2 2" xfId="50"/>
    <cellStyle name="40% - Colore 3 2 3" xfId="51"/>
    <cellStyle name="40% - Colore 3 3" xfId="52"/>
    <cellStyle name="40% - Colore 4" xfId="53"/>
    <cellStyle name="40% - Colore 4 2" xfId="54"/>
    <cellStyle name="40% - Colore 4 2 2" xfId="55"/>
    <cellStyle name="40% - Colore 4 2 3" xfId="56"/>
    <cellStyle name="40% - Colore 5" xfId="57"/>
    <cellStyle name="40% - Colore 5 2" xfId="58"/>
    <cellStyle name="40% - Colore 5 2 2" xfId="59"/>
    <cellStyle name="40% - Colore 6" xfId="60"/>
    <cellStyle name="40% - Colore 6 2" xfId="61"/>
    <cellStyle name="40% - Colore 6 2 2" xfId="62"/>
    <cellStyle name="40% - Colore 6 2 3" xfId="63"/>
    <cellStyle name="60% - Colore 1" xfId="64"/>
    <cellStyle name="60% - Colore 1 2" xfId="65"/>
    <cellStyle name="60% - Colore 1 2 2" xfId="66"/>
    <cellStyle name="60% - Colore 2" xfId="67"/>
    <cellStyle name="60% - Colore 2 2" xfId="68"/>
    <cellStyle name="60% - Colore 3" xfId="69"/>
    <cellStyle name="60% - Colore 3 2" xfId="70"/>
    <cellStyle name="60% - Colore 3 2 2" xfId="71"/>
    <cellStyle name="60% - Colore 3 3" xfId="72"/>
    <cellStyle name="60% - Colore 4" xfId="73"/>
    <cellStyle name="60% - Colore 4 2" xfId="74"/>
    <cellStyle name="60% - Colore 4 2 2" xfId="75"/>
    <cellStyle name="60% - Colore 4 3" xfId="76"/>
    <cellStyle name="60% - Colore 5" xfId="77"/>
    <cellStyle name="60% - Colore 5 2" xfId="78"/>
    <cellStyle name="60% - Colore 6" xfId="79"/>
    <cellStyle name="60% - Colore 6 2" xfId="80"/>
    <cellStyle name="60% - Colore 6 2 2" xfId="81"/>
    <cellStyle name="60% - Colore 6 3" xfId="82"/>
    <cellStyle name="Calcolo" xfId="83"/>
    <cellStyle name="Calcolo 2" xfId="84"/>
    <cellStyle name="Calcolo 2 2" xfId="85"/>
    <cellStyle name="Cella collegata" xfId="86"/>
    <cellStyle name="Cella collegata 2" xfId="87"/>
    <cellStyle name="Cella da controllare" xfId="88"/>
    <cellStyle name="Cella da controllare 2" xfId="89"/>
    <cellStyle name="Colore 1" xfId="90"/>
    <cellStyle name="Colore 1 2" xfId="91"/>
    <cellStyle name="Colore 1 2 2" xfId="92"/>
    <cellStyle name="Colore 2" xfId="93"/>
    <cellStyle name="Colore 2 2" xfId="94"/>
    <cellStyle name="Colore 2 3" xfId="95"/>
    <cellStyle name="Colore 2 4" xfId="96"/>
    <cellStyle name="Colore 3" xfId="97"/>
    <cellStyle name="Colore 3 2" xfId="98"/>
    <cellStyle name="Colore 4" xfId="99"/>
    <cellStyle name="Colore 4 2" xfId="100"/>
    <cellStyle name="Colore 4 2 2" xfId="101"/>
    <cellStyle name="Colore 5" xfId="102"/>
    <cellStyle name="Colore 5 2" xfId="103"/>
    <cellStyle name="Colore 6" xfId="104"/>
    <cellStyle name="Colore 6 2" xfId="105"/>
    <cellStyle name="Comma 2" xfId="106"/>
    <cellStyle name="Comma 2 2" xfId="107"/>
    <cellStyle name="Comma 2 2 2" xfId="108"/>
    <cellStyle name="Comma 2 2 2 2" xfId="109"/>
    <cellStyle name="Comma 2 2 2 2 2" xfId="110"/>
    <cellStyle name="Comma 2 2 2 3" xfId="111"/>
    <cellStyle name="Comma 2 2 2 4" xfId="112"/>
    <cellStyle name="Comma 2 2 3" xfId="113"/>
    <cellStyle name="Comma 2 2 4" xfId="114"/>
    <cellStyle name="Comma 2 2 4 2" xfId="115"/>
    <cellStyle name="Comma 2 2 5" xfId="116"/>
    <cellStyle name="Comma 2 2 6" xfId="117"/>
    <cellStyle name="Comma 2 3" xfId="118"/>
    <cellStyle name="Comma 2 3 2" xfId="119"/>
    <cellStyle name="Comma 2 3 2 2" xfId="120"/>
    <cellStyle name="Comma 2 3 2 2 2" xfId="121"/>
    <cellStyle name="Comma 2 3 2 3" xfId="122"/>
    <cellStyle name="Comma 2 3 3" xfId="123"/>
    <cellStyle name="Comma 2 3 3 2" xfId="124"/>
    <cellStyle name="Comma 2 3 4" xfId="125"/>
    <cellStyle name="Comma 2 4" xfId="126"/>
    <cellStyle name="Comma 2 4 2" xfId="127"/>
    <cellStyle name="Comma 2 4 2 2" xfId="128"/>
    <cellStyle name="Comma 2 4 3" xfId="129"/>
    <cellStyle name="Comma 2 4 3 2" xfId="130"/>
    <cellStyle name="Comma 2 4 4" xfId="131"/>
    <cellStyle name="Comma 2 4 5" xfId="132"/>
    <cellStyle name="Comma 2 5" xfId="133"/>
    <cellStyle name="Comma 2 6" xfId="134"/>
    <cellStyle name="Comma 2 6 2" xfId="135"/>
    <cellStyle name="Comma 2 7" xfId="136"/>
    <cellStyle name="Comma 2 7 2" xfId="137"/>
    <cellStyle name="Comma 2 8" xfId="138"/>
    <cellStyle name="Euro" xfId="139"/>
    <cellStyle name="Euro 10" xfId="140"/>
    <cellStyle name="Euro 2" xfId="141"/>
    <cellStyle name="Euro 2 2" xfId="142"/>
    <cellStyle name="Euro 2 2 2" xfId="143"/>
    <cellStyle name="Euro 2 2 2 2" xfId="144"/>
    <cellStyle name="Euro 2 2 3" xfId="145"/>
    <cellStyle name="Euro 2 2 4" xfId="146"/>
    <cellStyle name="Euro 2 3" xfId="147"/>
    <cellStyle name="Euro 2 4" xfId="148"/>
    <cellStyle name="Euro 2 4 2" xfId="149"/>
    <cellStyle name="Euro 2 5" xfId="150"/>
    <cellStyle name="Euro 2 6" xfId="151"/>
    <cellStyle name="Euro 2 7" xfId="152"/>
    <cellStyle name="Euro 2_Beni e servizi" xfId="153"/>
    <cellStyle name="Euro 3" xfId="154"/>
    <cellStyle name="Euro 3 2" xfId="155"/>
    <cellStyle name="Euro 3 2 2" xfId="156"/>
    <cellStyle name="Euro 3 2 3" xfId="157"/>
    <cellStyle name="Euro 3 2 3 2" xfId="158"/>
    <cellStyle name="Euro 3 3" xfId="159"/>
    <cellStyle name="Euro 3 3 2" xfId="160"/>
    <cellStyle name="Euro 3 3 2 2" xfId="161"/>
    <cellStyle name="Euro 3 3 3" xfId="162"/>
    <cellStyle name="Euro 3 4" xfId="163"/>
    <cellStyle name="Euro 3 5" xfId="164"/>
    <cellStyle name="Euro 3 5 2" xfId="165"/>
    <cellStyle name="Euro 3 6" xfId="166"/>
    <cellStyle name="Euro 3 6 2" xfId="167"/>
    <cellStyle name="Euro 3 7" xfId="168"/>
    <cellStyle name="Euro 3 8" xfId="169"/>
    <cellStyle name="Euro 4" xfId="170"/>
    <cellStyle name="Euro 4 2" xfId="171"/>
    <cellStyle name="Euro 4 3" xfId="172"/>
    <cellStyle name="Euro 4 3 2" xfId="173"/>
    <cellStyle name="Euro 4 4" xfId="174"/>
    <cellStyle name="Euro 4 5" xfId="175"/>
    <cellStyle name="Euro 5" xfId="176"/>
    <cellStyle name="Euro 5 2" xfId="177"/>
    <cellStyle name="Euro 5 2 2" xfId="178"/>
    <cellStyle name="Euro 5 2 2 2" xfId="179"/>
    <cellStyle name="Euro 5 2 3" xfId="180"/>
    <cellStyle name="Euro 5 2 3 2" xfId="181"/>
    <cellStyle name="Euro 5 3" xfId="182"/>
    <cellStyle name="Euro 5 3 2" xfId="183"/>
    <cellStyle name="Euro 5 4" xfId="184"/>
    <cellStyle name="Euro 5 4 2" xfId="185"/>
    <cellStyle name="Euro 5 5" xfId="186"/>
    <cellStyle name="Euro 5 6" xfId="187"/>
    <cellStyle name="Euro 6" xfId="188"/>
    <cellStyle name="Euro 6 2" xfId="189"/>
    <cellStyle name="Euro 6 2 2" xfId="190"/>
    <cellStyle name="Euro 6 3" xfId="191"/>
    <cellStyle name="Euro 7" xfId="192"/>
    <cellStyle name="Euro 8" xfId="193"/>
    <cellStyle name="Euro 8 2" xfId="194"/>
    <cellStyle name="Euro 9" xfId="195"/>
    <cellStyle name="Euro 9 2" xfId="196"/>
    <cellStyle name="Excel Built-in Normal" xfId="197"/>
    <cellStyle name="Excel Built-in Normal 1" xfId="198"/>
    <cellStyle name="Excel Built-in Normal 2" xfId="199"/>
    <cellStyle name="Excel Built-in Normal 3" xfId="200"/>
    <cellStyle name="Excel Built-in Normal 3 2" xfId="201"/>
    <cellStyle name="Excel Built-in Normal 3 2 2" xfId="202"/>
    <cellStyle name="Excel Built-in Normal 3 3" xfId="203"/>
    <cellStyle name="Excel Built-in Normal 4" xfId="204"/>
    <cellStyle name="Excel Built-in Normal 4 2" xfId="205"/>
    <cellStyle name="Excel Built-in Normal 5" xfId="206"/>
    <cellStyle name="Input" xfId="207"/>
    <cellStyle name="Input 2" xfId="208"/>
    <cellStyle name="Input 2 2" xfId="209"/>
    <cellStyle name="Comma" xfId="210"/>
    <cellStyle name="Comma [0]" xfId="211"/>
    <cellStyle name="Migliaia [0] 10" xfId="212"/>
    <cellStyle name="Migliaia [0] 10 2" xfId="213"/>
    <cellStyle name="Migliaia [0] 10 2 2" xfId="214"/>
    <cellStyle name="Migliaia [0] 10 2 2 2" xfId="215"/>
    <cellStyle name="Migliaia [0] 10 2 3" xfId="216"/>
    <cellStyle name="Migliaia [0] 10 3" xfId="217"/>
    <cellStyle name="Migliaia [0] 10 3 2" xfId="218"/>
    <cellStyle name="Migliaia [0] 10 4" xfId="219"/>
    <cellStyle name="Migliaia [0] 11" xfId="220"/>
    <cellStyle name="Migliaia [0] 11 2" xfId="221"/>
    <cellStyle name="Migliaia [0] 11 2 2" xfId="222"/>
    <cellStyle name="Migliaia [0] 11 3" xfId="223"/>
    <cellStyle name="Migliaia [0] 12" xfId="224"/>
    <cellStyle name="Migliaia [0] 12 2" xfId="225"/>
    <cellStyle name="Migliaia [0] 13" xfId="226"/>
    <cellStyle name="Migliaia [0] 13 2" xfId="227"/>
    <cellStyle name="Migliaia [0] 14" xfId="228"/>
    <cellStyle name="Migliaia [0] 14 2" xfId="229"/>
    <cellStyle name="Migliaia [0] 15" xfId="230"/>
    <cellStyle name="Migliaia [0] 15 2" xfId="231"/>
    <cellStyle name="Migliaia [0] 2" xfId="232"/>
    <cellStyle name="Migliaia [0] 2 2" xfId="233"/>
    <cellStyle name="Migliaia [0] 2 2 2" xfId="234"/>
    <cellStyle name="Migliaia [0] 2 2 2 2" xfId="235"/>
    <cellStyle name="Migliaia [0] 2 2 2 2 2" xfId="236"/>
    <cellStyle name="Migliaia [0] 2 2 2 2 2 2" xfId="237"/>
    <cellStyle name="Migliaia [0] 2 2 2 2 3" xfId="238"/>
    <cellStyle name="Migliaia [0] 2 2 2 2 3 2" xfId="239"/>
    <cellStyle name="Migliaia [0] 2 2 2 2 4" xfId="240"/>
    <cellStyle name="Migliaia [0] 2 2 2 2 4 2" xfId="241"/>
    <cellStyle name="Migliaia [0] 2 2 2 2 5" xfId="242"/>
    <cellStyle name="Migliaia [0] 2 2 2 2 6" xfId="243"/>
    <cellStyle name="Migliaia [0] 2 2 2 3" xfId="244"/>
    <cellStyle name="Migliaia [0] 2 2 2 4" xfId="245"/>
    <cellStyle name="Migliaia [0] 2 2 2 4 2" xfId="246"/>
    <cellStyle name="Migliaia [0] 2 2 2 5" xfId="247"/>
    <cellStyle name="Migliaia [0] 2 2 2 5 2" xfId="248"/>
    <cellStyle name="Migliaia [0] 2 2 2 6" xfId="249"/>
    <cellStyle name="Migliaia [0] 2 2 2 7" xfId="250"/>
    <cellStyle name="Migliaia [0] 2 2 3" xfId="251"/>
    <cellStyle name="Migliaia [0] 2 2 3 2" xfId="252"/>
    <cellStyle name="Migliaia [0] 2 2 3 2 2" xfId="253"/>
    <cellStyle name="Migliaia [0] 2 2 3 2 3" xfId="254"/>
    <cellStyle name="Migliaia [0] 2 2 3 2 3 2" xfId="255"/>
    <cellStyle name="Migliaia [0] 2 2 3 3" xfId="256"/>
    <cellStyle name="Migliaia [0] 2 2 3 3 2" xfId="257"/>
    <cellStyle name="Migliaia [0] 2 2 3 3 2 2" xfId="258"/>
    <cellStyle name="Migliaia [0] 2 2 3 3 3" xfId="259"/>
    <cellStyle name="Migliaia [0] 2 2 3 4" xfId="260"/>
    <cellStyle name="Migliaia [0] 2 2 3 5" xfId="261"/>
    <cellStyle name="Migliaia [0] 2 2 3 5 2" xfId="262"/>
    <cellStyle name="Migliaia [0] 2 2 3 6" xfId="263"/>
    <cellStyle name="Migliaia [0] 2 2 3 7" xfId="264"/>
    <cellStyle name="Migliaia [0] 2 2 4" xfId="265"/>
    <cellStyle name="Migliaia [0] 2 2 4 2" xfId="266"/>
    <cellStyle name="Migliaia [0] 2 2 4 2 2" xfId="267"/>
    <cellStyle name="Migliaia [0] 2 2 4 2 3" xfId="268"/>
    <cellStyle name="Migliaia [0] 2 2 4 2 3 2" xfId="269"/>
    <cellStyle name="Migliaia [0] 2 2 5" xfId="270"/>
    <cellStyle name="Migliaia [0] 2 2 5 2" xfId="271"/>
    <cellStyle name="Migliaia [0] 2 2 5 2 2" xfId="272"/>
    <cellStyle name="Migliaia [0] 2 2 5 2 2 2" xfId="273"/>
    <cellStyle name="Migliaia [0] 2 2 5 2 3" xfId="274"/>
    <cellStyle name="Migliaia [0] 2 2 5 3" xfId="275"/>
    <cellStyle name="Migliaia [0] 2 2 5 3 2" xfId="276"/>
    <cellStyle name="Migliaia [0] 2 2 5 4" xfId="277"/>
    <cellStyle name="Migliaia [0] 2 2 5 4 2" xfId="278"/>
    <cellStyle name="Migliaia [0] 2 2 5 5" xfId="279"/>
    <cellStyle name="Migliaia [0] 2 2 6" xfId="280"/>
    <cellStyle name="Migliaia [0] 2 2 6 2" xfId="281"/>
    <cellStyle name="Migliaia [0] 2 2 6 2 2" xfId="282"/>
    <cellStyle name="Migliaia [0] 2 2 6 3" xfId="283"/>
    <cellStyle name="Migliaia [0] 2 2 7" xfId="284"/>
    <cellStyle name="Migliaia [0] 2 2 7 2" xfId="285"/>
    <cellStyle name="Migliaia [0] 2 2_RICLASSIFICATO CET 4 TRIM 2013" xfId="286"/>
    <cellStyle name="Migliaia [0] 2 3" xfId="287"/>
    <cellStyle name="Migliaia [0] 2 3 2" xfId="288"/>
    <cellStyle name="Migliaia [0] 2 3 2 2" xfId="289"/>
    <cellStyle name="Migliaia [0] 2 3 2 2 2" xfId="290"/>
    <cellStyle name="Migliaia [0] 2 3 2 3" xfId="291"/>
    <cellStyle name="Migliaia [0] 2 3 2 4" xfId="292"/>
    <cellStyle name="Migliaia [0] 2 3 3" xfId="293"/>
    <cellStyle name="Migliaia [0] 2 3 4" xfId="294"/>
    <cellStyle name="Migliaia [0] 2 3 4 2" xfId="295"/>
    <cellStyle name="Migliaia [0] 2 3 5" xfId="296"/>
    <cellStyle name="Migliaia [0] 2 3 6" xfId="297"/>
    <cellStyle name="Migliaia [0] 2 4" xfId="298"/>
    <cellStyle name="Migliaia [0] 2 4 2" xfId="299"/>
    <cellStyle name="Migliaia [0] 2 4 2 2" xfId="300"/>
    <cellStyle name="Migliaia [0] 2 4 2 3" xfId="301"/>
    <cellStyle name="Migliaia [0] 2 4 2 3 2" xfId="302"/>
    <cellStyle name="Migliaia [0] 2 4 3" xfId="303"/>
    <cellStyle name="Migliaia [0] 2 4 3 2" xfId="304"/>
    <cellStyle name="Migliaia [0] 2 4 3 2 2" xfId="305"/>
    <cellStyle name="Migliaia [0] 2 4 3 3" xfId="306"/>
    <cellStyle name="Migliaia [0] 2 4 4" xfId="307"/>
    <cellStyle name="Migliaia [0] 2 4 5" xfId="308"/>
    <cellStyle name="Migliaia [0] 2 4 5 2" xfId="309"/>
    <cellStyle name="Migliaia [0] 2 4 6" xfId="310"/>
    <cellStyle name="Migliaia [0] 2 4 7" xfId="311"/>
    <cellStyle name="Migliaia [0] 2 5" xfId="312"/>
    <cellStyle name="Migliaia [0] 2 5 2" xfId="313"/>
    <cellStyle name="Migliaia [0] 2 5 3" xfId="314"/>
    <cellStyle name="Migliaia [0] 2 5 3 2" xfId="315"/>
    <cellStyle name="Migliaia [0] 2 5 4" xfId="316"/>
    <cellStyle name="Migliaia [0] 2 5 5" xfId="317"/>
    <cellStyle name="Migliaia [0] 2 6" xfId="318"/>
    <cellStyle name="Migliaia [0] 2 6 2" xfId="319"/>
    <cellStyle name="Migliaia [0] 2 6 2 2" xfId="320"/>
    <cellStyle name="Migliaia [0] 2 6 2 2 2" xfId="321"/>
    <cellStyle name="Migliaia [0] 2 6 2 3" xfId="322"/>
    <cellStyle name="Migliaia [0] 2 6 3" xfId="323"/>
    <cellStyle name="Migliaia [0] 2 6 3 2" xfId="324"/>
    <cellStyle name="Migliaia [0] 2 6 4" xfId="325"/>
    <cellStyle name="Migliaia [0] 2 7" xfId="326"/>
    <cellStyle name="Migliaia [0] 2 7 2" xfId="327"/>
    <cellStyle name="Migliaia [0] 2 7 2 2" xfId="328"/>
    <cellStyle name="Migliaia [0] 2 7 3" xfId="329"/>
    <cellStyle name="Migliaia [0] 2 8" xfId="330"/>
    <cellStyle name="Migliaia [0] 2 8 2" xfId="331"/>
    <cellStyle name="Migliaia [0] 3" xfId="332"/>
    <cellStyle name="Migliaia [0] 3 2" xfId="333"/>
    <cellStyle name="Migliaia [0] 3 2 2" xfId="334"/>
    <cellStyle name="Migliaia [0] 3 2 2 2" xfId="335"/>
    <cellStyle name="Migliaia [0] 3 2 2 2 2" xfId="336"/>
    <cellStyle name="Migliaia [0] 3 2 2 3" xfId="337"/>
    <cellStyle name="Migliaia [0] 3 2 2 4" xfId="338"/>
    <cellStyle name="Migliaia [0] 3 2 2 5" xfId="339"/>
    <cellStyle name="Migliaia [0] 3 2 3" xfId="340"/>
    <cellStyle name="Migliaia [0] 3 2 3 2" xfId="341"/>
    <cellStyle name="Migliaia [0] 3 2 3 3" xfId="342"/>
    <cellStyle name="Migliaia [0] 3 2 3 3 2" xfId="343"/>
    <cellStyle name="Migliaia [0] 3 2 4" xfId="344"/>
    <cellStyle name="Migliaia [0] 3 2 4 2" xfId="345"/>
    <cellStyle name="Migliaia [0] 3 2 4 2 2" xfId="346"/>
    <cellStyle name="Migliaia [0] 3 2 4 3" xfId="347"/>
    <cellStyle name="Migliaia [0] 3 2 4 4" xfId="348"/>
    <cellStyle name="Migliaia [0] 3 2 5" xfId="349"/>
    <cellStyle name="Migliaia [0] 3 3" xfId="350"/>
    <cellStyle name="Migliaia [0] 3 3 2" xfId="351"/>
    <cellStyle name="Migliaia [0] 3 3 2 2" xfId="352"/>
    <cellStyle name="Migliaia [0] 3 3 2 3" xfId="353"/>
    <cellStyle name="Migliaia [0] 3 3 2 3 2" xfId="354"/>
    <cellStyle name="Migliaia [0] 3 3 3" xfId="355"/>
    <cellStyle name="Migliaia [0] 3 3 3 2" xfId="356"/>
    <cellStyle name="Migliaia [0] 3 3 3 2 2" xfId="357"/>
    <cellStyle name="Migliaia [0] 3 3 3 3" xfId="358"/>
    <cellStyle name="Migliaia [0] 3 3 3 3 2" xfId="359"/>
    <cellStyle name="Migliaia [0] 3 3 3 4" xfId="360"/>
    <cellStyle name="Migliaia [0] 3 3 3 5" xfId="361"/>
    <cellStyle name="Migliaia [0] 3 3 4" xfId="362"/>
    <cellStyle name="Migliaia [0] 3 3 5" xfId="363"/>
    <cellStyle name="Migliaia [0] 3 3 5 2" xfId="364"/>
    <cellStyle name="Migliaia [0] 3 3 6" xfId="365"/>
    <cellStyle name="Migliaia [0] 3 4" xfId="366"/>
    <cellStyle name="Migliaia [0] 3 4 2" xfId="367"/>
    <cellStyle name="Migliaia [0] 3 4 3" xfId="368"/>
    <cellStyle name="Migliaia [0] 3 4 3 2" xfId="369"/>
    <cellStyle name="Migliaia [0] 3 4 4" xfId="370"/>
    <cellStyle name="Migliaia [0] 3 5" xfId="371"/>
    <cellStyle name="Migliaia [0] 3 5 2" xfId="372"/>
    <cellStyle name="Migliaia [0] 3 5 2 2" xfId="373"/>
    <cellStyle name="Migliaia [0] 3 5 3" xfId="374"/>
    <cellStyle name="Migliaia [0] 3 5 3 2" xfId="375"/>
    <cellStyle name="Migliaia [0] 3 5 4" xfId="376"/>
    <cellStyle name="Migliaia [0] 3 5 5" xfId="377"/>
    <cellStyle name="Migliaia [0] 3 6" xfId="378"/>
    <cellStyle name="Migliaia [0] 3 6 2" xfId="379"/>
    <cellStyle name="Migliaia [0] 3 7" xfId="380"/>
    <cellStyle name="Migliaia [0] 4" xfId="381"/>
    <cellStyle name="Migliaia [0] 4 2" xfId="382"/>
    <cellStyle name="Migliaia [0] 4 2 2" xfId="383"/>
    <cellStyle name="Migliaia [0] 4 2 2 2" xfId="384"/>
    <cellStyle name="Migliaia [0] 4 2 2 2 2" xfId="385"/>
    <cellStyle name="Migliaia [0] 4 2 2 3" xfId="386"/>
    <cellStyle name="Migliaia [0] 4 2 2 4" xfId="387"/>
    <cellStyle name="Migliaia [0] 4 2 2 5" xfId="388"/>
    <cellStyle name="Migliaia [0] 4 2 3" xfId="389"/>
    <cellStyle name="Migliaia [0] 4 2 3 2" xfId="390"/>
    <cellStyle name="Migliaia [0] 4 2 3 3" xfId="391"/>
    <cellStyle name="Migliaia [0] 4 2 3 3 2" xfId="392"/>
    <cellStyle name="Migliaia [0] 4 2 4" xfId="393"/>
    <cellStyle name="Migliaia [0] 4 2 4 2" xfId="394"/>
    <cellStyle name="Migliaia [0] 4 2 4 2 2" xfId="395"/>
    <cellStyle name="Migliaia [0] 4 2 4 3" xfId="396"/>
    <cellStyle name="Migliaia [0] 4 2 4 4" xfId="397"/>
    <cellStyle name="Migliaia [0] 4 2 5" xfId="398"/>
    <cellStyle name="Migliaia [0] 4 3" xfId="399"/>
    <cellStyle name="Migliaia [0] 4 3 2" xfId="400"/>
    <cellStyle name="Migliaia [0] 4 3 2 2" xfId="401"/>
    <cellStyle name="Migliaia [0] 4 3 2 3" xfId="402"/>
    <cellStyle name="Migliaia [0] 4 3 2 3 2" xfId="403"/>
    <cellStyle name="Migliaia [0] 4 3 3" xfId="404"/>
    <cellStyle name="Migliaia [0] 4 3 3 2" xfId="405"/>
    <cellStyle name="Migliaia [0] 4 3 3 2 2" xfId="406"/>
    <cellStyle name="Migliaia [0] 4 3 3 3" xfId="407"/>
    <cellStyle name="Migliaia [0] 4 3 3 3 2" xfId="408"/>
    <cellStyle name="Migliaia [0] 4 3 3 4" xfId="409"/>
    <cellStyle name="Migliaia [0] 4 3 3 5" xfId="410"/>
    <cellStyle name="Migliaia [0] 4 3 4" xfId="411"/>
    <cellStyle name="Migliaia [0] 4 3 5" xfId="412"/>
    <cellStyle name="Migliaia [0] 4 3 5 2" xfId="413"/>
    <cellStyle name="Migliaia [0] 4 3 6" xfId="414"/>
    <cellStyle name="Migliaia [0] 4 3 6 2" xfId="415"/>
    <cellStyle name="Migliaia [0] 4 3 7" xfId="416"/>
    <cellStyle name="Migliaia [0] 4 3 8" xfId="417"/>
    <cellStyle name="Migliaia [0] 4 4" xfId="418"/>
    <cellStyle name="Migliaia [0] 4 4 2" xfId="419"/>
    <cellStyle name="Migliaia [0] 4 4 2 2" xfId="420"/>
    <cellStyle name="Migliaia [0] 4 4 2 3" xfId="421"/>
    <cellStyle name="Migliaia [0] 4 4 2 3 2" xfId="422"/>
    <cellStyle name="Migliaia [0] 4 4 3" xfId="423"/>
    <cellStyle name="Migliaia [0] 4 4 3 2" xfId="424"/>
    <cellStyle name="Migliaia [0] 4 4 4" xfId="425"/>
    <cellStyle name="Migliaia [0] 4 5" xfId="426"/>
    <cellStyle name="Migliaia [0] 4 5 2" xfId="427"/>
    <cellStyle name="Migliaia [0] 4 5 2 2" xfId="428"/>
    <cellStyle name="Migliaia [0] 4 5 3" xfId="429"/>
    <cellStyle name="Migliaia [0] 4 5 4" xfId="430"/>
    <cellStyle name="Migliaia [0] 4 5 4 2" xfId="431"/>
    <cellStyle name="Migliaia [0] 4 5 5" xfId="432"/>
    <cellStyle name="Migliaia [0] 4 6" xfId="433"/>
    <cellStyle name="Migliaia [0] 4 6 2" xfId="434"/>
    <cellStyle name="Migliaia [0] 4 6 2 2" xfId="435"/>
    <cellStyle name="Migliaia [0] 4 6 3" xfId="436"/>
    <cellStyle name="Migliaia [0] 5" xfId="437"/>
    <cellStyle name="Migliaia [0] 5 10" xfId="438"/>
    <cellStyle name="Migliaia [0] 5 2" xfId="439"/>
    <cellStyle name="Migliaia [0] 5 2 2" xfId="440"/>
    <cellStyle name="Migliaia [0] 5 2 3" xfId="441"/>
    <cellStyle name="Migliaia [0] 5 2 3 2" xfId="442"/>
    <cellStyle name="Migliaia [0] 5 2 3 2 2" xfId="443"/>
    <cellStyle name="Migliaia [0] 5 2 3 3" xfId="444"/>
    <cellStyle name="Migliaia [0] 5 2 4" xfId="445"/>
    <cellStyle name="Migliaia [0] 5 2 5" xfId="446"/>
    <cellStyle name="Migliaia [0] 5 2 5 2" xfId="447"/>
    <cellStyle name="Migliaia [0] 5 2 6" xfId="448"/>
    <cellStyle name="Migliaia [0] 5 2 6 2" xfId="449"/>
    <cellStyle name="Migliaia [0] 5 2 7" xfId="450"/>
    <cellStyle name="Migliaia [0] 5 2 8" xfId="451"/>
    <cellStyle name="Migliaia [0] 5 3" xfId="452"/>
    <cellStyle name="Migliaia [0] 5 3 2" xfId="453"/>
    <cellStyle name="Migliaia [0] 5 3 2 2" xfId="454"/>
    <cellStyle name="Migliaia [0] 5 3 2 2 2" xfId="455"/>
    <cellStyle name="Migliaia [0] 5 3 2 3" xfId="456"/>
    <cellStyle name="Migliaia [0] 5 3 2 4" xfId="457"/>
    <cellStyle name="Migliaia [0] 5 3 3" xfId="458"/>
    <cellStyle name="Migliaia [0] 5 3 4" xfId="459"/>
    <cellStyle name="Migliaia [0] 5 3 4 2" xfId="460"/>
    <cellStyle name="Migliaia [0] 5 3 5" xfId="461"/>
    <cellStyle name="Migliaia [0] 5 3 5 2" xfId="462"/>
    <cellStyle name="Migliaia [0] 5 3 6" xfId="463"/>
    <cellStyle name="Migliaia [0] 5 3 6 2" xfId="464"/>
    <cellStyle name="Migliaia [0] 5 3 7" xfId="465"/>
    <cellStyle name="Migliaia [0] 5 3 8" xfId="466"/>
    <cellStyle name="Migliaia [0] 5 4" xfId="467"/>
    <cellStyle name="Migliaia [0] 5 4 2" xfId="468"/>
    <cellStyle name="Migliaia [0] 5 4 2 2" xfId="469"/>
    <cellStyle name="Migliaia [0] 5 4 3" xfId="470"/>
    <cellStyle name="Migliaia [0] 5 4 4" xfId="471"/>
    <cellStyle name="Migliaia [0] 5 5" xfId="472"/>
    <cellStyle name="Migliaia [0] 5 6" xfId="473"/>
    <cellStyle name="Migliaia [0] 5 6 2" xfId="474"/>
    <cellStyle name="Migliaia [0] 5 7" xfId="475"/>
    <cellStyle name="Migliaia [0] 5 7 2" xfId="476"/>
    <cellStyle name="Migliaia [0] 5 8" xfId="477"/>
    <cellStyle name="Migliaia [0] 5 8 2" xfId="478"/>
    <cellStyle name="Migliaia [0] 5 9" xfId="479"/>
    <cellStyle name="Migliaia [0] 5 9 2" xfId="480"/>
    <cellStyle name="Migliaia [0] 6" xfId="481"/>
    <cellStyle name="Migliaia [0] 6 2" xfId="482"/>
    <cellStyle name="Migliaia [0] 6 2 2" xfId="483"/>
    <cellStyle name="Migliaia [0] 6 2 2 2" xfId="484"/>
    <cellStyle name="Migliaia [0] 6 2 2 2 2" xfId="485"/>
    <cellStyle name="Migliaia [0] 6 2 2 3" xfId="486"/>
    <cellStyle name="Migliaia [0] 6 2 3" xfId="487"/>
    <cellStyle name="Migliaia [0] 6 2 4" xfId="488"/>
    <cellStyle name="Migliaia [0] 6 2 4 2" xfId="489"/>
    <cellStyle name="Migliaia [0] 6 2 5" xfId="490"/>
    <cellStyle name="Migliaia [0] 6 3" xfId="491"/>
    <cellStyle name="Migliaia [0] 6 3 2" xfId="492"/>
    <cellStyle name="Migliaia [0] 6 3 2 2" xfId="493"/>
    <cellStyle name="Migliaia [0] 6 3 3" xfId="494"/>
    <cellStyle name="Migliaia [0] 6 3 4" xfId="495"/>
    <cellStyle name="Migliaia [0] 6 4" xfId="496"/>
    <cellStyle name="Migliaia [0] 6 5" xfId="497"/>
    <cellStyle name="Migliaia [0] 6 5 2" xfId="498"/>
    <cellStyle name="Migliaia [0] 6 6" xfId="499"/>
    <cellStyle name="Migliaia [0] 6 7" xfId="500"/>
    <cellStyle name="Migliaia [0] 6 8" xfId="501"/>
    <cellStyle name="Migliaia [0] 6 9" xfId="502"/>
    <cellStyle name="Migliaia [0] 7" xfId="503"/>
    <cellStyle name="Migliaia [0] 7 2" xfId="504"/>
    <cellStyle name="Migliaia [0] 7 2 2" xfId="505"/>
    <cellStyle name="Migliaia [0] 7 2 2 2" xfId="506"/>
    <cellStyle name="Migliaia [0] 7 2 3" xfId="507"/>
    <cellStyle name="Migliaia [0] 7 2 4" xfId="508"/>
    <cellStyle name="Migliaia [0] 7 2 4 2" xfId="509"/>
    <cellStyle name="Migliaia [0] 7 2 5" xfId="510"/>
    <cellStyle name="Migliaia [0] 7 3" xfId="511"/>
    <cellStyle name="Migliaia [0] 7 4" xfId="512"/>
    <cellStyle name="Migliaia [0] 7 4 2" xfId="513"/>
    <cellStyle name="Migliaia [0] 7 5" xfId="514"/>
    <cellStyle name="Migliaia [0] 7 6" xfId="515"/>
    <cellStyle name="Migliaia [0] 7 7" xfId="516"/>
    <cellStyle name="Migliaia [0] 8" xfId="517"/>
    <cellStyle name="Migliaia [0] 8 2" xfId="518"/>
    <cellStyle name="Migliaia [0] 8 2 2" xfId="519"/>
    <cellStyle name="Migliaia [0] 8 2 3" xfId="520"/>
    <cellStyle name="Migliaia [0] 8 3" xfId="521"/>
    <cellStyle name="Migliaia [0] 8 3 2" xfId="522"/>
    <cellStyle name="Migliaia [0] 8 3 2 2" xfId="523"/>
    <cellStyle name="Migliaia [0] 8 3 3" xfId="524"/>
    <cellStyle name="Migliaia [0] 8 4" xfId="525"/>
    <cellStyle name="Migliaia [0] 8 4 2" xfId="526"/>
    <cellStyle name="Migliaia [0] 8 5" xfId="527"/>
    <cellStyle name="Migliaia [0] 9" xfId="528"/>
    <cellStyle name="Migliaia [0] 9 2" xfId="529"/>
    <cellStyle name="Migliaia [0] 9 2 2" xfId="530"/>
    <cellStyle name="Migliaia [0] 9 3" xfId="531"/>
    <cellStyle name="Migliaia [0] 9 4" xfId="532"/>
    <cellStyle name="Migliaia 10" xfId="533"/>
    <cellStyle name="Migliaia 10 2" xfId="534"/>
    <cellStyle name="Migliaia 10 2 2" xfId="535"/>
    <cellStyle name="Migliaia 10 2 2 2" xfId="536"/>
    <cellStyle name="Migliaia 10 2 3" xfId="537"/>
    <cellStyle name="Migliaia 10 3" xfId="538"/>
    <cellStyle name="Migliaia 10 3 2" xfId="539"/>
    <cellStyle name="Migliaia 10 4" xfId="540"/>
    <cellStyle name="Migliaia 100" xfId="541"/>
    <cellStyle name="Migliaia 100 2" xfId="542"/>
    <cellStyle name="Migliaia 100 3" xfId="543"/>
    <cellStyle name="Migliaia 101" xfId="544"/>
    <cellStyle name="Migliaia 11" xfId="545"/>
    <cellStyle name="Migliaia 11 2" xfId="546"/>
    <cellStyle name="Migliaia 11 2 2" xfId="547"/>
    <cellStyle name="Migliaia 11 2 2 2" xfId="548"/>
    <cellStyle name="Migliaia 11 2 3" xfId="549"/>
    <cellStyle name="Migliaia 11 3" xfId="550"/>
    <cellStyle name="Migliaia 11 3 2" xfId="551"/>
    <cellStyle name="Migliaia 11 4" xfId="552"/>
    <cellStyle name="Migliaia 12" xfId="553"/>
    <cellStyle name="Migliaia 12 2" xfId="554"/>
    <cellStyle name="Migliaia 12 2 2" xfId="555"/>
    <cellStyle name="Migliaia 12 2 2 2" xfId="556"/>
    <cellStyle name="Migliaia 12 2 3" xfId="557"/>
    <cellStyle name="Migliaia 12 3" xfId="558"/>
    <cellStyle name="Migliaia 12 3 2" xfId="559"/>
    <cellStyle name="Migliaia 12 4" xfId="560"/>
    <cellStyle name="Migliaia 13" xfId="561"/>
    <cellStyle name="Migliaia 13 2" xfId="562"/>
    <cellStyle name="Migliaia 13 2 2" xfId="563"/>
    <cellStyle name="Migliaia 13 2 2 2" xfId="564"/>
    <cellStyle name="Migliaia 13 2 3" xfId="565"/>
    <cellStyle name="Migliaia 13 3" xfId="566"/>
    <cellStyle name="Migliaia 13 3 2" xfId="567"/>
    <cellStyle name="Migliaia 13 4" xfId="568"/>
    <cellStyle name="Migliaia 14" xfId="569"/>
    <cellStyle name="Migliaia 14 2" xfId="570"/>
    <cellStyle name="Migliaia 14 2 2" xfId="571"/>
    <cellStyle name="Migliaia 14 2 2 2" xfId="572"/>
    <cellStyle name="Migliaia 14 2 3" xfId="573"/>
    <cellStyle name="Migliaia 14 2 3 2" xfId="574"/>
    <cellStyle name="Migliaia 14 2 4" xfId="575"/>
    <cellStyle name="Migliaia 14 3" xfId="576"/>
    <cellStyle name="Migliaia 14 4" xfId="577"/>
    <cellStyle name="Migliaia 15" xfId="578"/>
    <cellStyle name="Migliaia 15 2" xfId="579"/>
    <cellStyle name="Migliaia 15 2 2" xfId="580"/>
    <cellStyle name="Migliaia 15 2 2 2" xfId="581"/>
    <cellStyle name="Migliaia 15 3" xfId="582"/>
    <cellStyle name="Migliaia 15 4" xfId="583"/>
    <cellStyle name="Migliaia 16" xfId="584"/>
    <cellStyle name="Migliaia 16 2" xfId="585"/>
    <cellStyle name="Migliaia 16 2 2" xfId="586"/>
    <cellStyle name="Migliaia 16 2 2 2" xfId="587"/>
    <cellStyle name="Migliaia 16 3" xfId="588"/>
    <cellStyle name="Migliaia 16 4" xfId="589"/>
    <cellStyle name="Migliaia 17" xfId="590"/>
    <cellStyle name="Migliaia 17 2" xfId="591"/>
    <cellStyle name="Migliaia 17 2 2" xfId="592"/>
    <cellStyle name="Migliaia 17 2 2 2" xfId="593"/>
    <cellStyle name="Migliaia 17 3" xfId="594"/>
    <cellStyle name="Migliaia 17 4" xfId="595"/>
    <cellStyle name="Migliaia 18" xfId="596"/>
    <cellStyle name="Migliaia 18 2" xfId="597"/>
    <cellStyle name="Migliaia 18 3" xfId="598"/>
    <cellStyle name="Migliaia 18 3 2" xfId="599"/>
    <cellStyle name="Migliaia 18 4" xfId="600"/>
    <cellStyle name="Migliaia 18 5" xfId="601"/>
    <cellStyle name="Migliaia 19" xfId="602"/>
    <cellStyle name="Migliaia 19 2" xfId="603"/>
    <cellStyle name="Migliaia 19 3" xfId="604"/>
    <cellStyle name="Migliaia 19 3 2" xfId="605"/>
    <cellStyle name="Migliaia 19 4" xfId="606"/>
    <cellStyle name="Migliaia 19 5" xfId="607"/>
    <cellStyle name="Migliaia 2" xfId="608"/>
    <cellStyle name="Migliaia 2 10" xfId="609"/>
    <cellStyle name="Migliaia 2 10 2" xfId="610"/>
    <cellStyle name="Migliaia 2 11" xfId="611"/>
    <cellStyle name="Migliaia 2 2" xfId="612"/>
    <cellStyle name="Migliaia 2 2 2" xfId="613"/>
    <cellStyle name="Migliaia 2 2 2 2" xfId="614"/>
    <cellStyle name="Migliaia 2 2 2 2 2" xfId="615"/>
    <cellStyle name="Migliaia 2 2 2 2 2 2" xfId="616"/>
    <cellStyle name="Migliaia 2 2 2 2 3" xfId="617"/>
    <cellStyle name="Migliaia 2 2 2 2 3 2" xfId="618"/>
    <cellStyle name="Migliaia 2 2 2 2 4" xfId="619"/>
    <cellStyle name="Migliaia 2 2 2 3" xfId="620"/>
    <cellStyle name="Migliaia 2 2 2 3 2" xfId="621"/>
    <cellStyle name="Migliaia 2 2 2 4" xfId="622"/>
    <cellStyle name="Migliaia 2 2 2 5" xfId="623"/>
    <cellStyle name="Migliaia 2 2 3" xfId="624"/>
    <cellStyle name="Migliaia 2 2 3 2" xfId="625"/>
    <cellStyle name="Migliaia 2 2 3 2 2" xfId="626"/>
    <cellStyle name="Migliaia 2 2 3 2 2 2" xfId="627"/>
    <cellStyle name="Migliaia 2 2 3 2 3" xfId="628"/>
    <cellStyle name="Migliaia 2 2 3 3" xfId="629"/>
    <cellStyle name="Migliaia 2 2 3 3 2" xfId="630"/>
    <cellStyle name="Migliaia 2 2 3 4" xfId="631"/>
    <cellStyle name="Migliaia 2 2 4" xfId="632"/>
    <cellStyle name="Migliaia 2 2 4 2" xfId="633"/>
    <cellStyle name="Migliaia 2 2 4 2 2" xfId="634"/>
    <cellStyle name="Migliaia 2 2 4 3" xfId="635"/>
    <cellStyle name="Migliaia 2 2 4 3 2" xfId="636"/>
    <cellStyle name="Migliaia 2 2 4 4" xfId="637"/>
    <cellStyle name="Migliaia 2 2 4 4 2" xfId="638"/>
    <cellStyle name="Migliaia 2 2 4 5" xfId="639"/>
    <cellStyle name="Migliaia 2 2 5" xfId="640"/>
    <cellStyle name="Migliaia 2 2 6" xfId="641"/>
    <cellStyle name="Migliaia 2 2 6 2" xfId="642"/>
    <cellStyle name="Migliaia 2 2 7" xfId="643"/>
    <cellStyle name="Migliaia 2 2 7 2" xfId="644"/>
    <cellStyle name="Migliaia 2 2 8" xfId="645"/>
    <cellStyle name="Migliaia 2 2 8 2" xfId="646"/>
    <cellStyle name="Migliaia 2 2 9" xfId="647"/>
    <cellStyle name="Migliaia 2 3" xfId="648"/>
    <cellStyle name="Migliaia 2 3 2" xfId="649"/>
    <cellStyle name="Migliaia 2 3 2 2" xfId="650"/>
    <cellStyle name="Migliaia 2 3 2 2 2" xfId="651"/>
    <cellStyle name="Migliaia 2 3 2 3" xfId="652"/>
    <cellStyle name="Migliaia 2 3 2 3 2" xfId="653"/>
    <cellStyle name="Migliaia 2 3 2 4" xfId="654"/>
    <cellStyle name="Migliaia 2 3 3" xfId="655"/>
    <cellStyle name="Migliaia 2 3 3 2" xfId="656"/>
    <cellStyle name="Migliaia 2 3 3 3" xfId="657"/>
    <cellStyle name="Migliaia 2 3 3 3 2" xfId="658"/>
    <cellStyle name="Migliaia 2 3 4" xfId="659"/>
    <cellStyle name="Migliaia 2 3 4 2" xfId="660"/>
    <cellStyle name="Migliaia 2 3 5" xfId="661"/>
    <cellStyle name="Migliaia 2 3 5 2" xfId="662"/>
    <cellStyle name="Migliaia 2 3 6" xfId="663"/>
    <cellStyle name="Migliaia 2 4" xfId="664"/>
    <cellStyle name="Migliaia 2 4 2" xfId="665"/>
    <cellStyle name="Migliaia 2 4 2 2" xfId="666"/>
    <cellStyle name="Migliaia 2 4 2 2 2" xfId="667"/>
    <cellStyle name="Migliaia 2 4 2 2 2 2" xfId="668"/>
    <cellStyle name="Migliaia 2 4 2 2 3" xfId="669"/>
    <cellStyle name="Migliaia 2 4 2 3" xfId="670"/>
    <cellStyle name="Migliaia 2 4 2 3 2" xfId="671"/>
    <cellStyle name="Migliaia 2 4 2 4" xfId="672"/>
    <cellStyle name="Migliaia 2 4 3" xfId="673"/>
    <cellStyle name="Migliaia 2 4 3 2" xfId="674"/>
    <cellStyle name="Migliaia 2 4 3 2 2" xfId="675"/>
    <cellStyle name="Migliaia 2 4 3 3" xfId="676"/>
    <cellStyle name="Migliaia 2 4 4" xfId="677"/>
    <cellStyle name="Migliaia 2 4 5" xfId="678"/>
    <cellStyle name="Migliaia 2 4 5 2" xfId="679"/>
    <cellStyle name="Migliaia 2 4 6" xfId="680"/>
    <cellStyle name="Migliaia 2 5" xfId="681"/>
    <cellStyle name="Migliaia 2 5 2" xfId="682"/>
    <cellStyle name="Migliaia 2 5 3" xfId="683"/>
    <cellStyle name="Migliaia 2 5 3 2" xfId="684"/>
    <cellStyle name="Migliaia 2 6" xfId="685"/>
    <cellStyle name="Migliaia 2 6 2" xfId="686"/>
    <cellStyle name="Migliaia 2 6 2 2" xfId="687"/>
    <cellStyle name="Migliaia 2 6 2 2 2" xfId="688"/>
    <cellStyle name="Migliaia 2 6 2 3" xfId="689"/>
    <cellStyle name="Migliaia 2 6 3" xfId="690"/>
    <cellStyle name="Migliaia 2 6 3 2" xfId="691"/>
    <cellStyle name="Migliaia 2 6 4" xfId="692"/>
    <cellStyle name="Migliaia 2 7" xfId="693"/>
    <cellStyle name="Migliaia 2 7 2" xfId="694"/>
    <cellStyle name="Migliaia 2 7 2 2" xfId="695"/>
    <cellStyle name="Migliaia 2 7 3" xfId="696"/>
    <cellStyle name="Migliaia 2 8" xfId="697"/>
    <cellStyle name="Migliaia 2 9" xfId="698"/>
    <cellStyle name="Migliaia 2 9 2" xfId="699"/>
    <cellStyle name="Migliaia 20" xfId="700"/>
    <cellStyle name="Migliaia 20 2" xfId="701"/>
    <cellStyle name="Migliaia 20 3" xfId="702"/>
    <cellStyle name="Migliaia 20 3 2" xfId="703"/>
    <cellStyle name="Migliaia 20 4" xfId="704"/>
    <cellStyle name="Migliaia 20 5" xfId="705"/>
    <cellStyle name="Migliaia 21" xfId="706"/>
    <cellStyle name="Migliaia 21 2" xfId="707"/>
    <cellStyle name="Migliaia 21 3" xfId="708"/>
    <cellStyle name="Migliaia 21 3 2" xfId="709"/>
    <cellStyle name="Migliaia 21 4" xfId="710"/>
    <cellStyle name="Migliaia 21 5" xfId="711"/>
    <cellStyle name="Migliaia 22" xfId="712"/>
    <cellStyle name="Migliaia 22 2" xfId="713"/>
    <cellStyle name="Migliaia 22 3" xfId="714"/>
    <cellStyle name="Migliaia 22 3 2" xfId="715"/>
    <cellStyle name="Migliaia 22 4" xfId="716"/>
    <cellStyle name="Migliaia 22 5" xfId="717"/>
    <cellStyle name="Migliaia 23" xfId="718"/>
    <cellStyle name="Migliaia 23 2" xfId="719"/>
    <cellStyle name="Migliaia 23 3" xfId="720"/>
    <cellStyle name="Migliaia 23 3 2" xfId="721"/>
    <cellStyle name="Migliaia 23 4" xfId="722"/>
    <cellStyle name="Migliaia 23 5" xfId="723"/>
    <cellStyle name="Migliaia 24" xfId="724"/>
    <cellStyle name="Migliaia 24 2" xfId="725"/>
    <cellStyle name="Migliaia 24 3" xfId="726"/>
    <cellStyle name="Migliaia 24 3 2" xfId="727"/>
    <cellStyle name="Migliaia 24 4" xfId="728"/>
    <cellStyle name="Migliaia 24 5" xfId="729"/>
    <cellStyle name="Migliaia 25" xfId="730"/>
    <cellStyle name="Migliaia 25 2" xfId="731"/>
    <cellStyle name="Migliaia 25 3" xfId="732"/>
    <cellStyle name="Migliaia 25 3 2" xfId="733"/>
    <cellStyle name="Migliaia 25 4" xfId="734"/>
    <cellStyle name="Migliaia 25 5" xfId="735"/>
    <cellStyle name="Migliaia 26" xfId="736"/>
    <cellStyle name="Migliaia 26 2" xfId="737"/>
    <cellStyle name="Migliaia 26 3" xfId="738"/>
    <cellStyle name="Migliaia 26 3 2" xfId="739"/>
    <cellStyle name="Migliaia 26 4" xfId="740"/>
    <cellStyle name="Migliaia 26 5" xfId="741"/>
    <cellStyle name="Migliaia 27" xfId="742"/>
    <cellStyle name="Migliaia 27 2" xfId="743"/>
    <cellStyle name="Migliaia 27 3" xfId="744"/>
    <cellStyle name="Migliaia 27 3 2" xfId="745"/>
    <cellStyle name="Migliaia 27 4" xfId="746"/>
    <cellStyle name="Migliaia 27 5" xfId="747"/>
    <cellStyle name="Migliaia 28" xfId="748"/>
    <cellStyle name="Migliaia 28 2" xfId="749"/>
    <cellStyle name="Migliaia 28 3" xfId="750"/>
    <cellStyle name="Migliaia 28 3 2" xfId="751"/>
    <cellStyle name="Migliaia 28 4" xfId="752"/>
    <cellStyle name="Migliaia 28 5" xfId="753"/>
    <cellStyle name="Migliaia 29" xfId="754"/>
    <cellStyle name="Migliaia 29 2" xfId="755"/>
    <cellStyle name="Migliaia 29 3" xfId="756"/>
    <cellStyle name="Migliaia 29 3 2" xfId="757"/>
    <cellStyle name="Migliaia 29 4" xfId="758"/>
    <cellStyle name="Migliaia 29 5" xfId="759"/>
    <cellStyle name="Migliaia 3" xfId="760"/>
    <cellStyle name="Migliaia 3 10" xfId="761"/>
    <cellStyle name="Migliaia 3 11" xfId="762"/>
    <cellStyle name="Migliaia 3 2" xfId="763"/>
    <cellStyle name="Migliaia 3 2 2" xfId="764"/>
    <cellStyle name="Migliaia 3 2 2 2" xfId="765"/>
    <cellStyle name="Migliaia 3 2 2 2 2" xfId="766"/>
    <cellStyle name="Migliaia 3 2 2 2 2 2" xfId="767"/>
    <cellStyle name="Migliaia 3 2 2 2 3" xfId="768"/>
    <cellStyle name="Migliaia 3 2 2 2 4" xfId="769"/>
    <cellStyle name="Migliaia 3 2 2 3" xfId="770"/>
    <cellStyle name="Migliaia 3 2 2 4" xfId="771"/>
    <cellStyle name="Migliaia 3 2 2 4 2" xfId="772"/>
    <cellStyle name="Migliaia 3 2 2 5" xfId="773"/>
    <cellStyle name="Migliaia 3 2 2 6" xfId="774"/>
    <cellStyle name="Migliaia 3 2 3" xfId="775"/>
    <cellStyle name="Migliaia 3 2 3 2" xfId="776"/>
    <cellStyle name="Migliaia 3 2 3 3" xfId="777"/>
    <cellStyle name="Migliaia 3 2 3 3 2" xfId="778"/>
    <cellStyle name="Migliaia 3 2 3 3 2 2" xfId="779"/>
    <cellStyle name="Migliaia 3 2 3 3 3" xfId="780"/>
    <cellStyle name="Migliaia 3 2 3 4" xfId="781"/>
    <cellStyle name="Migliaia 3 2 3 5" xfId="782"/>
    <cellStyle name="Migliaia 3 2 3 5 2" xfId="783"/>
    <cellStyle name="Migliaia 3 2 3 6" xfId="784"/>
    <cellStyle name="Migliaia 3 2 4" xfId="785"/>
    <cellStyle name="Migliaia 3 2 4 2" xfId="786"/>
    <cellStyle name="Migliaia 3 2 5" xfId="787"/>
    <cellStyle name="Migliaia 3 2 5 2" xfId="788"/>
    <cellStyle name="Migliaia 3 2 5 2 2" xfId="789"/>
    <cellStyle name="Migliaia 3 2 5 2 2 2" xfId="790"/>
    <cellStyle name="Migliaia 3 2 5 2 3" xfId="791"/>
    <cellStyle name="Migliaia 3 2 5 3" xfId="792"/>
    <cellStyle name="Migliaia 3 2 5 3 2" xfId="793"/>
    <cellStyle name="Migliaia 3 2 5 4" xfId="794"/>
    <cellStyle name="Migliaia 3 2 6" xfId="795"/>
    <cellStyle name="Migliaia 3 2 6 2" xfId="796"/>
    <cellStyle name="Migliaia 3 2 6 2 2" xfId="797"/>
    <cellStyle name="Migliaia 3 2 6 3" xfId="798"/>
    <cellStyle name="Migliaia 3 2 7" xfId="799"/>
    <cellStyle name="Migliaia 3 2 7 2" xfId="800"/>
    <cellStyle name="Migliaia 3 2 8" xfId="801"/>
    <cellStyle name="Migliaia 3 2_RICLASSIFICATO CET 4 TRIM 2013" xfId="802"/>
    <cellStyle name="Migliaia 3 3" xfId="803"/>
    <cellStyle name="Migliaia 3 3 2" xfId="804"/>
    <cellStyle name="Migliaia 3 3 2 2" xfId="805"/>
    <cellStyle name="Migliaia 3 3 2 2 2" xfId="806"/>
    <cellStyle name="Migliaia 3 3 2 3" xfId="807"/>
    <cellStyle name="Migliaia 3 3 2 4" xfId="808"/>
    <cellStyle name="Migliaia 3 3 3" xfId="809"/>
    <cellStyle name="Migliaia 3 3 4" xfId="810"/>
    <cellStyle name="Migliaia 3 3 4 2" xfId="811"/>
    <cellStyle name="Migliaia 3 3 5" xfId="812"/>
    <cellStyle name="Migliaia 3 3 6" xfId="813"/>
    <cellStyle name="Migliaia 3 4" xfId="814"/>
    <cellStyle name="Migliaia 3 4 2" xfId="815"/>
    <cellStyle name="Migliaia 3 4 3" xfId="816"/>
    <cellStyle name="Migliaia 3 4 3 2" xfId="817"/>
    <cellStyle name="Migliaia 3 4 3 2 2" xfId="818"/>
    <cellStyle name="Migliaia 3 4 3 3" xfId="819"/>
    <cellStyle name="Migliaia 3 4 4" xfId="820"/>
    <cellStyle name="Migliaia 3 4 5" xfId="821"/>
    <cellStyle name="Migliaia 3 4 5 2" xfId="822"/>
    <cellStyle name="Migliaia 3 4 6" xfId="823"/>
    <cellStyle name="Migliaia 3 5" xfId="824"/>
    <cellStyle name="Migliaia 3 5 2" xfId="825"/>
    <cellStyle name="Migliaia 3 5 3" xfId="826"/>
    <cellStyle name="Migliaia 3 5 4" xfId="827"/>
    <cellStyle name="Migliaia 3 6" xfId="828"/>
    <cellStyle name="Migliaia 3 6 2" xfId="829"/>
    <cellStyle name="Migliaia 3 6 2 2" xfId="830"/>
    <cellStyle name="Migliaia 3 6 2 2 2" xfId="831"/>
    <cellStyle name="Migliaia 3 6 2 3" xfId="832"/>
    <cellStyle name="Migliaia 3 6 3" xfId="833"/>
    <cellStyle name="Migliaia 3 6 3 2" xfId="834"/>
    <cellStyle name="Migliaia 3 6 4" xfId="835"/>
    <cellStyle name="Migliaia 3 7" xfId="836"/>
    <cellStyle name="Migliaia 3 7 2" xfId="837"/>
    <cellStyle name="Migliaia 3 7 2 2" xfId="838"/>
    <cellStyle name="Migliaia 3 7 3" xfId="839"/>
    <cellStyle name="Migliaia 3 8" xfId="840"/>
    <cellStyle name="Migliaia 3 9" xfId="841"/>
    <cellStyle name="Migliaia 3 9 2" xfId="842"/>
    <cellStyle name="Migliaia 30" xfId="843"/>
    <cellStyle name="Migliaia 30 2" xfId="844"/>
    <cellStyle name="Migliaia 30 3" xfId="845"/>
    <cellStyle name="Migliaia 30 3 2" xfId="846"/>
    <cellStyle name="Migliaia 30 4" xfId="847"/>
    <cellStyle name="Migliaia 30 5" xfId="848"/>
    <cellStyle name="Migliaia 31" xfId="849"/>
    <cellStyle name="Migliaia 31 2" xfId="850"/>
    <cellStyle name="Migliaia 31 3" xfId="851"/>
    <cellStyle name="Migliaia 31 3 2" xfId="852"/>
    <cellStyle name="Migliaia 31 4" xfId="853"/>
    <cellStyle name="Migliaia 31 5" xfId="854"/>
    <cellStyle name="Migliaia 32" xfId="855"/>
    <cellStyle name="Migliaia 32 2" xfId="856"/>
    <cellStyle name="Migliaia 32 3" xfId="857"/>
    <cellStyle name="Migliaia 32 3 2" xfId="858"/>
    <cellStyle name="Migliaia 32 4" xfId="859"/>
    <cellStyle name="Migliaia 32 5" xfId="860"/>
    <cellStyle name="Migliaia 33" xfId="861"/>
    <cellStyle name="Migliaia 33 2" xfId="862"/>
    <cellStyle name="Migliaia 33 3" xfId="863"/>
    <cellStyle name="Migliaia 33 3 2" xfId="864"/>
    <cellStyle name="Migliaia 33 4" xfId="865"/>
    <cellStyle name="Migliaia 33 5" xfId="866"/>
    <cellStyle name="Migliaia 34" xfId="867"/>
    <cellStyle name="Migliaia 34 2" xfId="868"/>
    <cellStyle name="Migliaia 34 3" xfId="869"/>
    <cellStyle name="Migliaia 34 3 2" xfId="870"/>
    <cellStyle name="Migliaia 34 4" xfId="871"/>
    <cellStyle name="Migliaia 34 5" xfId="872"/>
    <cellStyle name="Migliaia 35" xfId="873"/>
    <cellStyle name="Migliaia 35 2" xfId="874"/>
    <cellStyle name="Migliaia 35 3" xfId="875"/>
    <cellStyle name="Migliaia 35 3 2" xfId="876"/>
    <cellStyle name="Migliaia 35 4" xfId="877"/>
    <cellStyle name="Migliaia 35 5" xfId="878"/>
    <cellStyle name="Migliaia 36" xfId="879"/>
    <cellStyle name="Migliaia 36 2" xfId="880"/>
    <cellStyle name="Migliaia 36 3" xfId="881"/>
    <cellStyle name="Migliaia 36 3 2" xfId="882"/>
    <cellStyle name="Migliaia 36 4" xfId="883"/>
    <cellStyle name="Migliaia 36 5" xfId="884"/>
    <cellStyle name="Migliaia 37" xfId="885"/>
    <cellStyle name="Migliaia 37 2" xfId="886"/>
    <cellStyle name="Migliaia 37 3" xfId="887"/>
    <cellStyle name="Migliaia 37 3 2" xfId="888"/>
    <cellStyle name="Migliaia 37 4" xfId="889"/>
    <cellStyle name="Migliaia 37 5" xfId="890"/>
    <cellStyle name="Migliaia 38" xfId="891"/>
    <cellStyle name="Migliaia 38 2" xfId="892"/>
    <cellStyle name="Migliaia 38 3" xfId="893"/>
    <cellStyle name="Migliaia 38 3 2" xfId="894"/>
    <cellStyle name="Migliaia 38 4" xfId="895"/>
    <cellStyle name="Migliaia 38 5" xfId="896"/>
    <cellStyle name="Migliaia 39" xfId="897"/>
    <cellStyle name="Migliaia 39 2" xfId="898"/>
    <cellStyle name="Migliaia 39 3" xfId="899"/>
    <cellStyle name="Migliaia 39 3 2" xfId="900"/>
    <cellStyle name="Migliaia 39 4" xfId="901"/>
    <cellStyle name="Migliaia 39 5" xfId="902"/>
    <cellStyle name="Migliaia 4" xfId="903"/>
    <cellStyle name="Migliaia 4 2" xfId="904"/>
    <cellStyle name="Migliaia 4 2 2" xfId="905"/>
    <cellStyle name="Migliaia 4 2 2 2" xfId="906"/>
    <cellStyle name="Migliaia 4 2 2 2 2" xfId="907"/>
    <cellStyle name="Migliaia 4 2 2 3" xfId="908"/>
    <cellStyle name="Migliaia 4 2 2 4" xfId="909"/>
    <cellStyle name="Migliaia 4 2 3" xfId="910"/>
    <cellStyle name="Migliaia 4 2 3 2" xfId="911"/>
    <cellStyle name="Migliaia 4 2 3 3" xfId="912"/>
    <cellStyle name="Migliaia 4 2 4" xfId="913"/>
    <cellStyle name="Migliaia 4 2 4 2" xfId="914"/>
    <cellStyle name="Migliaia 4 2 5" xfId="915"/>
    <cellStyle name="Migliaia 4 3" xfId="916"/>
    <cellStyle name="Migliaia 4 3 2" xfId="917"/>
    <cellStyle name="Migliaia 4 3 2 2" xfId="918"/>
    <cellStyle name="Migliaia 4 3 2 3" xfId="919"/>
    <cellStyle name="Migliaia 4 3 2 3 2" xfId="920"/>
    <cellStyle name="Migliaia 4 3 3" xfId="921"/>
    <cellStyle name="Migliaia 4 3 3 2" xfId="922"/>
    <cellStyle name="Migliaia 4 3 3 2 2" xfId="923"/>
    <cellStyle name="Migliaia 4 3 3 3" xfId="924"/>
    <cellStyle name="Migliaia 4 3 4" xfId="925"/>
    <cellStyle name="Migliaia 4 3 5" xfId="926"/>
    <cellStyle name="Migliaia 4 3 5 2" xfId="927"/>
    <cellStyle name="Migliaia 4 3 6" xfId="928"/>
    <cellStyle name="Migliaia 4 3 7" xfId="929"/>
    <cellStyle name="Migliaia 4 4" xfId="930"/>
    <cellStyle name="Migliaia 4 4 2" xfId="931"/>
    <cellStyle name="Migliaia 4 4 3" xfId="932"/>
    <cellStyle name="Migliaia 4 4 3 2" xfId="933"/>
    <cellStyle name="Migliaia 4 4 4" xfId="934"/>
    <cellStyle name="Migliaia 4 5" xfId="935"/>
    <cellStyle name="Migliaia 4 5 2" xfId="936"/>
    <cellStyle name="Migliaia 4 5 2 2" xfId="937"/>
    <cellStyle name="Migliaia 4 5 3" xfId="938"/>
    <cellStyle name="Migliaia 4 5 3 2" xfId="939"/>
    <cellStyle name="Migliaia 4 5 4" xfId="940"/>
    <cellStyle name="Migliaia 4 5 5" xfId="941"/>
    <cellStyle name="Migliaia 4 6" xfId="942"/>
    <cellStyle name="Migliaia 4 6 2" xfId="943"/>
    <cellStyle name="Migliaia 4 7" xfId="944"/>
    <cellStyle name="Migliaia 40" xfId="945"/>
    <cellStyle name="Migliaia 40 2" xfId="946"/>
    <cellStyle name="Migliaia 40 3" xfId="947"/>
    <cellStyle name="Migliaia 40 3 2" xfId="948"/>
    <cellStyle name="Migliaia 40 4" xfId="949"/>
    <cellStyle name="Migliaia 40 5" xfId="950"/>
    <cellStyle name="Migliaia 41" xfId="951"/>
    <cellStyle name="Migliaia 41 2" xfId="952"/>
    <cellStyle name="Migliaia 41 3" xfId="953"/>
    <cellStyle name="Migliaia 41 3 2" xfId="954"/>
    <cellStyle name="Migliaia 41 4" xfId="955"/>
    <cellStyle name="Migliaia 41 5" xfId="956"/>
    <cellStyle name="Migliaia 42" xfId="957"/>
    <cellStyle name="Migliaia 42 2" xfId="958"/>
    <cellStyle name="Migliaia 42 3" xfId="959"/>
    <cellStyle name="Migliaia 42 3 2" xfId="960"/>
    <cellStyle name="Migliaia 42 4" xfId="961"/>
    <cellStyle name="Migliaia 42 5" xfId="962"/>
    <cellStyle name="Migliaia 43" xfId="963"/>
    <cellStyle name="Migliaia 43 2" xfId="964"/>
    <cellStyle name="Migliaia 43 3" xfId="965"/>
    <cellStyle name="Migliaia 43 3 2" xfId="966"/>
    <cellStyle name="Migliaia 43 4" xfId="967"/>
    <cellStyle name="Migliaia 43 5" xfId="968"/>
    <cellStyle name="Migliaia 44" xfId="969"/>
    <cellStyle name="Migliaia 44 2" xfId="970"/>
    <cellStyle name="Migliaia 44 3" xfId="971"/>
    <cellStyle name="Migliaia 44 3 2" xfId="972"/>
    <cellStyle name="Migliaia 44 4" xfId="973"/>
    <cellStyle name="Migliaia 44 5" xfId="974"/>
    <cellStyle name="Migliaia 45" xfId="975"/>
    <cellStyle name="Migliaia 45 2" xfId="976"/>
    <cellStyle name="Migliaia 45 3" xfId="977"/>
    <cellStyle name="Migliaia 45 3 2" xfId="978"/>
    <cellStyle name="Migliaia 45 4" xfId="979"/>
    <cellStyle name="Migliaia 45 5" xfId="980"/>
    <cellStyle name="Migliaia 46" xfId="981"/>
    <cellStyle name="Migliaia 46 2" xfId="982"/>
    <cellStyle name="Migliaia 46 3" xfId="983"/>
    <cellStyle name="Migliaia 46 3 2" xfId="984"/>
    <cellStyle name="Migliaia 46 4" xfId="985"/>
    <cellStyle name="Migliaia 46 5" xfId="986"/>
    <cellStyle name="Migliaia 47" xfId="987"/>
    <cellStyle name="Migliaia 47 2" xfId="988"/>
    <cellStyle name="Migliaia 47 3" xfId="989"/>
    <cellStyle name="Migliaia 47 3 2" xfId="990"/>
    <cellStyle name="Migliaia 47 4" xfId="991"/>
    <cellStyle name="Migliaia 47 5" xfId="992"/>
    <cellStyle name="Migliaia 48" xfId="993"/>
    <cellStyle name="Migliaia 48 2" xfId="994"/>
    <cellStyle name="Migliaia 48 3" xfId="995"/>
    <cellStyle name="Migliaia 48 3 2" xfId="996"/>
    <cellStyle name="Migliaia 48 4" xfId="997"/>
    <cellStyle name="Migliaia 48 5" xfId="998"/>
    <cellStyle name="Migliaia 49" xfId="999"/>
    <cellStyle name="Migliaia 49 2" xfId="1000"/>
    <cellStyle name="Migliaia 49 3" xfId="1001"/>
    <cellStyle name="Migliaia 49 3 2" xfId="1002"/>
    <cellStyle name="Migliaia 49 4" xfId="1003"/>
    <cellStyle name="Migliaia 49 5" xfId="1004"/>
    <cellStyle name="Migliaia 5" xfId="1005"/>
    <cellStyle name="Migliaia 5 10" xfId="1006"/>
    <cellStyle name="Migliaia 5 2" xfId="1007"/>
    <cellStyle name="Migliaia 5 2 2" xfId="1008"/>
    <cellStyle name="Migliaia 5 2 3" xfId="1009"/>
    <cellStyle name="Migliaia 5 2 4" xfId="1010"/>
    <cellStyle name="Migliaia 5 2 4 2" xfId="1011"/>
    <cellStyle name="Migliaia 5 2 5" xfId="1012"/>
    <cellStyle name="Migliaia 5 2 6" xfId="1013"/>
    <cellStyle name="Migliaia 5 2 6 2" xfId="1014"/>
    <cellStyle name="Migliaia 5 3" xfId="1015"/>
    <cellStyle name="Migliaia 5 3 2" xfId="1016"/>
    <cellStyle name="Migliaia 5 3 3" xfId="1017"/>
    <cellStyle name="Migliaia 5 3 3 2" xfId="1018"/>
    <cellStyle name="Migliaia 5 4" xfId="1019"/>
    <cellStyle name="Migliaia 5 5" xfId="1020"/>
    <cellStyle name="Migliaia 5 5 2" xfId="1021"/>
    <cellStyle name="Migliaia 5 5 2 2" xfId="1022"/>
    <cellStyle name="Migliaia 5 5 3" xfId="1023"/>
    <cellStyle name="Migliaia 5 5 4" xfId="1024"/>
    <cellStyle name="Migliaia 5 6" xfId="1025"/>
    <cellStyle name="Migliaia 5 6 2" xfId="1026"/>
    <cellStyle name="Migliaia 5 7" xfId="1027"/>
    <cellStyle name="Migliaia 5 7 2" xfId="1028"/>
    <cellStyle name="Migliaia 5 8" xfId="1029"/>
    <cellStyle name="Migliaia 5 9" xfId="1030"/>
    <cellStyle name="Migliaia 50" xfId="1031"/>
    <cellStyle name="Migliaia 50 2" xfId="1032"/>
    <cellStyle name="Migliaia 50 3" xfId="1033"/>
    <cellStyle name="Migliaia 50 3 2" xfId="1034"/>
    <cellStyle name="Migliaia 50 4" xfId="1035"/>
    <cellStyle name="Migliaia 50 5" xfId="1036"/>
    <cellStyle name="Migliaia 51" xfId="1037"/>
    <cellStyle name="Migliaia 51 2" xfId="1038"/>
    <cellStyle name="Migliaia 51 3" xfId="1039"/>
    <cellStyle name="Migliaia 51 3 2" xfId="1040"/>
    <cellStyle name="Migliaia 51 4" xfId="1041"/>
    <cellStyle name="Migliaia 51 5" xfId="1042"/>
    <cellStyle name="Migliaia 52" xfId="1043"/>
    <cellStyle name="Migliaia 52 2" xfId="1044"/>
    <cellStyle name="Migliaia 52 3" xfId="1045"/>
    <cellStyle name="Migliaia 52 3 2" xfId="1046"/>
    <cellStyle name="Migliaia 52 4" xfId="1047"/>
    <cellStyle name="Migliaia 52 5" xfId="1048"/>
    <cellStyle name="Migliaia 53" xfId="1049"/>
    <cellStyle name="Migliaia 53 2" xfId="1050"/>
    <cellStyle name="Migliaia 53 3" xfId="1051"/>
    <cellStyle name="Migliaia 53 3 2" xfId="1052"/>
    <cellStyle name="Migliaia 53 4" xfId="1053"/>
    <cellStyle name="Migliaia 53 5" xfId="1054"/>
    <cellStyle name="Migliaia 54" xfId="1055"/>
    <cellStyle name="Migliaia 54 2" xfId="1056"/>
    <cellStyle name="Migliaia 54 3" xfId="1057"/>
    <cellStyle name="Migliaia 54 3 2" xfId="1058"/>
    <cellStyle name="Migliaia 54 4" xfId="1059"/>
    <cellStyle name="Migliaia 54 5" xfId="1060"/>
    <cellStyle name="Migliaia 55" xfId="1061"/>
    <cellStyle name="Migliaia 55 2" xfId="1062"/>
    <cellStyle name="Migliaia 55 3" xfId="1063"/>
    <cellStyle name="Migliaia 55 3 2" xfId="1064"/>
    <cellStyle name="Migliaia 55 4" xfId="1065"/>
    <cellStyle name="Migliaia 55 5" xfId="1066"/>
    <cellStyle name="Migliaia 56" xfId="1067"/>
    <cellStyle name="Migliaia 56 2" xfId="1068"/>
    <cellStyle name="Migliaia 56 3" xfId="1069"/>
    <cellStyle name="Migliaia 56 3 2" xfId="1070"/>
    <cellStyle name="Migliaia 56 4" xfId="1071"/>
    <cellStyle name="Migliaia 56 5" xfId="1072"/>
    <cellStyle name="Migliaia 57" xfId="1073"/>
    <cellStyle name="Migliaia 57 2" xfId="1074"/>
    <cellStyle name="Migliaia 57 3" xfId="1075"/>
    <cellStyle name="Migliaia 57 3 2" xfId="1076"/>
    <cellStyle name="Migliaia 57 4" xfId="1077"/>
    <cellStyle name="Migliaia 57 5" xfId="1078"/>
    <cellStyle name="Migliaia 58" xfId="1079"/>
    <cellStyle name="Migliaia 58 2" xfId="1080"/>
    <cellStyle name="Migliaia 58 3" xfId="1081"/>
    <cellStyle name="Migliaia 58 3 2" xfId="1082"/>
    <cellStyle name="Migliaia 58 4" xfId="1083"/>
    <cellStyle name="Migliaia 58 5" xfId="1084"/>
    <cellStyle name="Migliaia 59" xfId="1085"/>
    <cellStyle name="Migliaia 59 2" xfId="1086"/>
    <cellStyle name="Migliaia 59 3" xfId="1087"/>
    <cellStyle name="Migliaia 59 3 2" xfId="1088"/>
    <cellStyle name="Migliaia 59 4" xfId="1089"/>
    <cellStyle name="Migliaia 59 5" xfId="1090"/>
    <cellStyle name="Migliaia 6" xfId="1091"/>
    <cellStyle name="Migliaia 6 10" xfId="1092"/>
    <cellStyle name="Migliaia 6 2" xfId="1093"/>
    <cellStyle name="Migliaia 6 2 2" xfId="1094"/>
    <cellStyle name="Migliaia 6 2 3" xfId="1095"/>
    <cellStyle name="Migliaia 6 2 3 2" xfId="1096"/>
    <cellStyle name="Migliaia 6 2 4" xfId="1097"/>
    <cellStyle name="Migliaia 6 2 5" xfId="1098"/>
    <cellStyle name="Migliaia 6 2 5 2" xfId="1099"/>
    <cellStyle name="Migliaia 6 3" xfId="1100"/>
    <cellStyle name="Migliaia 6 4" xfId="1101"/>
    <cellStyle name="Migliaia 6 5" xfId="1102"/>
    <cellStyle name="Migliaia 6 5 2" xfId="1103"/>
    <cellStyle name="Migliaia 6 5 2 2" xfId="1104"/>
    <cellStyle name="Migliaia 6 5 3" xfId="1105"/>
    <cellStyle name="Migliaia 6 5 4" xfId="1106"/>
    <cellStyle name="Migliaia 6 6" xfId="1107"/>
    <cellStyle name="Migliaia 6 6 2" xfId="1108"/>
    <cellStyle name="Migliaia 6 7" xfId="1109"/>
    <cellStyle name="Migliaia 6 8" xfId="1110"/>
    <cellStyle name="Migliaia 6 9" xfId="1111"/>
    <cellStyle name="Migliaia 60" xfId="1112"/>
    <cellStyle name="Migliaia 60 2" xfId="1113"/>
    <cellStyle name="Migliaia 60 3" xfId="1114"/>
    <cellStyle name="Migliaia 60 3 2" xfId="1115"/>
    <cellStyle name="Migliaia 60 4" xfId="1116"/>
    <cellStyle name="Migliaia 60 5" xfId="1117"/>
    <cellStyle name="Migliaia 61" xfId="1118"/>
    <cellStyle name="Migliaia 61 2" xfId="1119"/>
    <cellStyle name="Migliaia 61 3" xfId="1120"/>
    <cellStyle name="Migliaia 61 3 2" xfId="1121"/>
    <cellStyle name="Migliaia 61 4" xfId="1122"/>
    <cellStyle name="Migliaia 61 5" xfId="1123"/>
    <cellStyle name="Migliaia 62" xfId="1124"/>
    <cellStyle name="Migliaia 62 2" xfId="1125"/>
    <cellStyle name="Migliaia 62 3" xfId="1126"/>
    <cellStyle name="Migliaia 62 3 2" xfId="1127"/>
    <cellStyle name="Migliaia 62 4" xfId="1128"/>
    <cellStyle name="Migliaia 62 5" xfId="1129"/>
    <cellStyle name="Migliaia 63" xfId="1130"/>
    <cellStyle name="Migliaia 63 2" xfId="1131"/>
    <cellStyle name="Migliaia 63 3" xfId="1132"/>
    <cellStyle name="Migliaia 63 3 2" xfId="1133"/>
    <cellStyle name="Migliaia 63 4" xfId="1134"/>
    <cellStyle name="Migliaia 63 5" xfId="1135"/>
    <cellStyle name="Migliaia 64" xfId="1136"/>
    <cellStyle name="Migliaia 64 2" xfId="1137"/>
    <cellStyle name="Migliaia 64 3" xfId="1138"/>
    <cellStyle name="Migliaia 64 3 2" xfId="1139"/>
    <cellStyle name="Migliaia 64 4" xfId="1140"/>
    <cellStyle name="Migliaia 64 5" xfId="1141"/>
    <cellStyle name="Migliaia 65" xfId="1142"/>
    <cellStyle name="Migliaia 65 2" xfId="1143"/>
    <cellStyle name="Migliaia 65 3" xfId="1144"/>
    <cellStyle name="Migliaia 65 3 2" xfId="1145"/>
    <cellStyle name="Migliaia 65 4" xfId="1146"/>
    <cellStyle name="Migliaia 65 5" xfId="1147"/>
    <cellStyle name="Migliaia 66" xfId="1148"/>
    <cellStyle name="Migliaia 66 2" xfId="1149"/>
    <cellStyle name="Migliaia 66 3" xfId="1150"/>
    <cellStyle name="Migliaia 66 3 2" xfId="1151"/>
    <cellStyle name="Migliaia 66 4" xfId="1152"/>
    <cellStyle name="Migliaia 66 5" xfId="1153"/>
    <cellStyle name="Migliaia 67" xfId="1154"/>
    <cellStyle name="Migliaia 67 2" xfId="1155"/>
    <cellStyle name="Migliaia 68" xfId="1156"/>
    <cellStyle name="Migliaia 68 2" xfId="1157"/>
    <cellStyle name="Migliaia 68 3" xfId="1158"/>
    <cellStyle name="Migliaia 68 3 2" xfId="1159"/>
    <cellStyle name="Migliaia 68 4" xfId="1160"/>
    <cellStyle name="Migliaia 69" xfId="1161"/>
    <cellStyle name="Migliaia 69 2" xfId="1162"/>
    <cellStyle name="Migliaia 69 3" xfId="1163"/>
    <cellStyle name="Migliaia 69 3 2" xfId="1164"/>
    <cellStyle name="Migliaia 69 4" xfId="1165"/>
    <cellStyle name="Migliaia 7" xfId="1166"/>
    <cellStyle name="Migliaia 7 2" xfId="1167"/>
    <cellStyle name="Migliaia 7 2 2" xfId="1168"/>
    <cellStyle name="Migliaia 7 2 2 2" xfId="1169"/>
    <cellStyle name="Migliaia 7 2 2 2 2" xfId="1170"/>
    <cellStyle name="Migliaia 7 2 2 3" xfId="1171"/>
    <cellStyle name="Migliaia 7 2 2 4" xfId="1172"/>
    <cellStyle name="Migliaia 7 2 3" xfId="1173"/>
    <cellStyle name="Migliaia 7 2 3 2" xfId="1174"/>
    <cellStyle name="Migliaia 7 2 4" xfId="1175"/>
    <cellStyle name="Migliaia 7 2 4 2" xfId="1176"/>
    <cellStyle name="Migliaia 7 2 5" xfId="1177"/>
    <cellStyle name="Migliaia 7 2 5 2" xfId="1178"/>
    <cellStyle name="Migliaia 7 3" xfId="1179"/>
    <cellStyle name="Migliaia 7 3 2" xfId="1180"/>
    <cellStyle name="Migliaia 7 4" xfId="1181"/>
    <cellStyle name="Migliaia 7 5" xfId="1182"/>
    <cellStyle name="Migliaia 7 6" xfId="1183"/>
    <cellStyle name="Migliaia 7 7" xfId="1184"/>
    <cellStyle name="Migliaia 70" xfId="1185"/>
    <cellStyle name="Migliaia 70 2" xfId="1186"/>
    <cellStyle name="Migliaia 70 3" xfId="1187"/>
    <cellStyle name="Migliaia 70 3 2" xfId="1188"/>
    <cellStyle name="Migliaia 70 4" xfId="1189"/>
    <cellStyle name="Migliaia 71" xfId="1190"/>
    <cellStyle name="Migliaia 71 2" xfId="1191"/>
    <cellStyle name="Migliaia 71 3" xfId="1192"/>
    <cellStyle name="Migliaia 71 3 2" xfId="1193"/>
    <cellStyle name="Migliaia 71 4" xfId="1194"/>
    <cellStyle name="Migliaia 72" xfId="1195"/>
    <cellStyle name="Migliaia 72 2" xfId="1196"/>
    <cellStyle name="Migliaia 72 3" xfId="1197"/>
    <cellStyle name="Migliaia 72 3 2" xfId="1198"/>
    <cellStyle name="Migliaia 72 4" xfId="1199"/>
    <cellStyle name="Migliaia 73" xfId="1200"/>
    <cellStyle name="Migliaia 73 2" xfId="1201"/>
    <cellStyle name="Migliaia 73 3" xfId="1202"/>
    <cellStyle name="Migliaia 73 3 2" xfId="1203"/>
    <cellStyle name="Migliaia 73 4" xfId="1204"/>
    <cellStyle name="Migliaia 74" xfId="1205"/>
    <cellStyle name="Migliaia 74 2" xfId="1206"/>
    <cellStyle name="Migliaia 74 3" xfId="1207"/>
    <cellStyle name="Migliaia 74 3 2" xfId="1208"/>
    <cellStyle name="Migliaia 74 4" xfId="1209"/>
    <cellStyle name="Migliaia 75" xfId="1210"/>
    <cellStyle name="Migliaia 75 2" xfId="1211"/>
    <cellStyle name="Migliaia 75 3" xfId="1212"/>
    <cellStyle name="Migliaia 75 3 2" xfId="1213"/>
    <cellStyle name="Migliaia 75 4" xfId="1214"/>
    <cellStyle name="Migliaia 76" xfId="1215"/>
    <cellStyle name="Migliaia 76 2" xfId="1216"/>
    <cellStyle name="Migliaia 76 3" xfId="1217"/>
    <cellStyle name="Migliaia 76 3 2" xfId="1218"/>
    <cellStyle name="Migliaia 76 4" xfId="1219"/>
    <cellStyle name="Migliaia 77" xfId="1220"/>
    <cellStyle name="Migliaia 77 2" xfId="1221"/>
    <cellStyle name="Migliaia 77 3" xfId="1222"/>
    <cellStyle name="Migliaia 77 3 2" xfId="1223"/>
    <cellStyle name="Migliaia 77 4" xfId="1224"/>
    <cellStyle name="Migliaia 78" xfId="1225"/>
    <cellStyle name="Migliaia 78 2" xfId="1226"/>
    <cellStyle name="Migliaia 78 3" xfId="1227"/>
    <cellStyle name="Migliaia 78 3 2" xfId="1228"/>
    <cellStyle name="Migliaia 78 4" xfId="1229"/>
    <cellStyle name="Migliaia 79" xfId="1230"/>
    <cellStyle name="Migliaia 8" xfId="1231"/>
    <cellStyle name="Migliaia 8 2" xfId="1232"/>
    <cellStyle name="Migliaia 8 2 2" xfId="1233"/>
    <cellStyle name="Migliaia 8 2 2 2" xfId="1234"/>
    <cellStyle name="Migliaia 8 2 3" xfId="1235"/>
    <cellStyle name="Migliaia 8 2 3 2" xfId="1236"/>
    <cellStyle name="Migliaia 8 2 4" xfId="1237"/>
    <cellStyle name="Migliaia 8 3" xfId="1238"/>
    <cellStyle name="Migliaia 8 4" xfId="1239"/>
    <cellStyle name="Migliaia 80" xfId="1240"/>
    <cellStyle name="Migliaia 81" xfId="1241"/>
    <cellStyle name="Migliaia 82" xfId="1242"/>
    <cellStyle name="Migliaia 83" xfId="1243"/>
    <cellStyle name="Migliaia 84" xfId="1244"/>
    <cellStyle name="Migliaia 85" xfId="1245"/>
    <cellStyle name="Migliaia 86" xfId="1246"/>
    <cellStyle name="Migliaia 87" xfId="1247"/>
    <cellStyle name="Migliaia 88" xfId="1248"/>
    <cellStyle name="Migliaia 89" xfId="1249"/>
    <cellStyle name="Migliaia 9" xfId="1250"/>
    <cellStyle name="Migliaia 9 2" xfId="1251"/>
    <cellStyle name="Migliaia 9 2 2" xfId="1252"/>
    <cellStyle name="Migliaia 9 2 2 2" xfId="1253"/>
    <cellStyle name="Migliaia 9 2 3" xfId="1254"/>
    <cellStyle name="Migliaia 9 3" xfId="1255"/>
    <cellStyle name="Migliaia 9 3 2" xfId="1256"/>
    <cellStyle name="Migliaia 9 4" xfId="1257"/>
    <cellStyle name="Migliaia 90" xfId="1258"/>
    <cellStyle name="Migliaia 91" xfId="1259"/>
    <cellStyle name="Migliaia 92" xfId="1260"/>
    <cellStyle name="Migliaia 93" xfId="1261"/>
    <cellStyle name="Migliaia 94" xfId="1262"/>
    <cellStyle name="Migliaia 95" xfId="1263"/>
    <cellStyle name="Migliaia 96" xfId="1264"/>
    <cellStyle name="Migliaia 97" xfId="1265"/>
    <cellStyle name="Migliaia 98" xfId="1266"/>
    <cellStyle name="Migliaia 99" xfId="1267"/>
    <cellStyle name="Neutrale" xfId="1268"/>
    <cellStyle name="Neutrale 2" xfId="1269"/>
    <cellStyle name="Normal 2" xfId="1270"/>
    <cellStyle name="Normal 2 2" xfId="1271"/>
    <cellStyle name="Normal 3" xfId="1272"/>
    <cellStyle name="Normale 10" xfId="1273"/>
    <cellStyle name="Normale 11" xfId="1274"/>
    <cellStyle name="Normale 11 2" xfId="1275"/>
    <cellStyle name="Normale 11 2 2" xfId="1276"/>
    <cellStyle name="Normale 12" xfId="1277"/>
    <cellStyle name="Normale 12 2" xfId="1278"/>
    <cellStyle name="Normale 14" xfId="1279"/>
    <cellStyle name="Normale 2" xfId="1280"/>
    <cellStyle name="Normale 2 2" xfId="1281"/>
    <cellStyle name="Normale 2 2 2" xfId="1282"/>
    <cellStyle name="Normale 2 2 2 2" xfId="1283"/>
    <cellStyle name="Normale 2 2 2 2 2" xfId="1284"/>
    <cellStyle name="Normale 2 2 2 2 2 2" xfId="1285"/>
    <cellStyle name="Normale 2 2 2 2 3" xfId="1286"/>
    <cellStyle name="Normale 2 2 2 2 3 2" xfId="1287"/>
    <cellStyle name="Normale 2 2 2 2 4" xfId="1288"/>
    <cellStyle name="Normale 2 2 2 2 5" xfId="1289"/>
    <cellStyle name="Normale 2 2 2 3" xfId="1290"/>
    <cellStyle name="Normale 2 2 2 3 2" xfId="1291"/>
    <cellStyle name="Normale 2 2 2 4" xfId="1292"/>
    <cellStyle name="Normale 2 2 3" xfId="1293"/>
    <cellStyle name="Normale 2 2 3 2" xfId="1294"/>
    <cellStyle name="Normale 2 2 3 2 2" xfId="1295"/>
    <cellStyle name="Normale 2 2 3 2 2 2" xfId="1296"/>
    <cellStyle name="Normale 2 2 3 2 3" xfId="1297"/>
    <cellStyle name="Normale 2 2 3 2 4" xfId="1298"/>
    <cellStyle name="Normale 2 2 3 3" xfId="1299"/>
    <cellStyle name="Normale 2 2 3 4" xfId="1300"/>
    <cellStyle name="Normale 2 2 3 4 2" xfId="1301"/>
    <cellStyle name="Normale 2 2 3 5" xfId="1302"/>
    <cellStyle name="Normale 2 2 3_Beni e servizi" xfId="1303"/>
    <cellStyle name="Normale 2 2 4" xfId="1304"/>
    <cellStyle name="Normale 2 2 4 2" xfId="1305"/>
    <cellStyle name="Normale 2 2 4 2 2" xfId="1306"/>
    <cellStyle name="Normale 2 2 5" xfId="1307"/>
    <cellStyle name="Normale 2 2 5 2" xfId="1308"/>
    <cellStyle name="Normale 2 2 5 2 2" xfId="1309"/>
    <cellStyle name="Normale 2 2 5 3" xfId="1310"/>
    <cellStyle name="Normale 2 2 6" xfId="1311"/>
    <cellStyle name="Normale 2 2 6 2" xfId="1312"/>
    <cellStyle name="Normale 2 2 6 2 2" xfId="1313"/>
    <cellStyle name="Normale 2 2 6 3" xfId="1314"/>
    <cellStyle name="Normale 2 2 7" xfId="1315"/>
    <cellStyle name="Normale 2 2 7 2" xfId="1316"/>
    <cellStyle name="Normale 2 2 8" xfId="1317"/>
    <cellStyle name="Normale 2 2_118_AO_Bilancio_2011 - 951" xfId="1318"/>
    <cellStyle name="Normale 2 3" xfId="1319"/>
    <cellStyle name="Normale 2_118_AO_Bilancio_2011 - 951" xfId="1320"/>
    <cellStyle name="Normale 3" xfId="1321"/>
    <cellStyle name="Normale 3 2" xfId="1322"/>
    <cellStyle name="Normale 3 2 2" xfId="1323"/>
    <cellStyle name="Normale 3 2_Beni e servizi" xfId="1324"/>
    <cellStyle name="Normale 3 3" xfId="1325"/>
    <cellStyle name="Normale 3 3 2" xfId="1326"/>
    <cellStyle name="Normale 3 4" xfId="1327"/>
    <cellStyle name="Normale 3 5" xfId="1328"/>
    <cellStyle name="Normale 3_118_AO_Bilancio_2011 - 951" xfId="1329"/>
    <cellStyle name="Normale 4" xfId="1330"/>
    <cellStyle name="Normale 4 2" xfId="1331"/>
    <cellStyle name="Normale 4 2 2" xfId="1332"/>
    <cellStyle name="Normale 4 3" xfId="1333"/>
    <cellStyle name="Normale 4_Beni e servizi" xfId="1334"/>
    <cellStyle name="Normale 5" xfId="1335"/>
    <cellStyle name="Normale 5 2" xfId="1336"/>
    <cellStyle name="Normale 5 2 2" xfId="1337"/>
    <cellStyle name="Normale 5 2 3" xfId="1338"/>
    <cellStyle name="Normale 5 2 4" xfId="1339"/>
    <cellStyle name="Normale 5 2 4 2" xfId="1340"/>
    <cellStyle name="Normale 5 2 5" xfId="1341"/>
    <cellStyle name="Normale 5 3" xfId="1342"/>
    <cellStyle name="Normale 5 3 2" xfId="1343"/>
    <cellStyle name="Normale 5 4" xfId="1344"/>
    <cellStyle name="Normale 5 4 2" xfId="1345"/>
    <cellStyle name="Normale 5 5" xfId="1346"/>
    <cellStyle name="Normale 5 6" xfId="1347"/>
    <cellStyle name="Normale 5 7" xfId="1348"/>
    <cellStyle name="Normale 5 8" xfId="1349"/>
    <cellStyle name="Normale 5 9" xfId="1350"/>
    <cellStyle name="Normale 5_Beni e servizi" xfId="1351"/>
    <cellStyle name="Normale 6" xfId="1352"/>
    <cellStyle name="Normale 6 2" xfId="1353"/>
    <cellStyle name="Normale 6 2 2" xfId="1354"/>
    <cellStyle name="Normale 6 2 2 2" xfId="1355"/>
    <cellStyle name="Normale 6 2 3" xfId="1356"/>
    <cellStyle name="Normale 6 3" xfId="1357"/>
    <cellStyle name="Normale 6 4" xfId="1358"/>
    <cellStyle name="Normale 6 4 2" xfId="1359"/>
    <cellStyle name="Normale 6 5" xfId="1360"/>
    <cellStyle name="Normale 6 5 2" xfId="1361"/>
    <cellStyle name="Normale 6 6" xfId="1362"/>
    <cellStyle name="Normale 6 7" xfId="1363"/>
    <cellStyle name="Normale 7" xfId="1364"/>
    <cellStyle name="Normale 7 2" xfId="1365"/>
    <cellStyle name="Normale 7 2 2" xfId="1366"/>
    <cellStyle name="Normale 7 3" xfId="1367"/>
    <cellStyle name="Normale 8" xfId="1368"/>
    <cellStyle name="Normale 8 2" xfId="1369"/>
    <cellStyle name="Normale 8 3" xfId="1370"/>
    <cellStyle name="Normale 8 3 2" xfId="1371"/>
    <cellStyle name="Normale 8 4" xfId="1372"/>
    <cellStyle name="Normale 9" xfId="1373"/>
    <cellStyle name="Nota" xfId="1374"/>
    <cellStyle name="Nota 2" xfId="1375"/>
    <cellStyle name="Nota 2 2" xfId="1376"/>
    <cellStyle name="Nota 2 2 2" xfId="1377"/>
    <cellStyle name="Nota 2 2 2 2" xfId="1378"/>
    <cellStyle name="Nota 2 2 3" xfId="1379"/>
    <cellStyle name="Nota 2 2 3 2" xfId="1380"/>
    <cellStyle name="Nota 2 2 4" xfId="1381"/>
    <cellStyle name="Nota 2 3" xfId="1382"/>
    <cellStyle name="Output" xfId="1383"/>
    <cellStyle name="Output 2" xfId="1384"/>
    <cellStyle name="Output 2 2" xfId="1385"/>
    <cellStyle name="Percent" xfId="1386"/>
    <cellStyle name="Percentuale 2" xfId="1387"/>
    <cellStyle name="Percentuale 2 10" xfId="1388"/>
    <cellStyle name="Percentuale 2 2" xfId="1389"/>
    <cellStyle name="Percentuale 2 2 2" xfId="1390"/>
    <cellStyle name="Percentuale 2 2 2 2" xfId="1391"/>
    <cellStyle name="Percentuale 2 2 2 2 2" xfId="1392"/>
    <cellStyle name="Percentuale 2 2 2 3" xfId="1393"/>
    <cellStyle name="Percentuale 2 2 2 3 2" xfId="1394"/>
    <cellStyle name="Percentuale 2 2 2 4" xfId="1395"/>
    <cellStyle name="Percentuale 2 2 3" xfId="1396"/>
    <cellStyle name="Percentuale 2 2 3 2" xfId="1397"/>
    <cellStyle name="Percentuale 2 2 3 3" xfId="1398"/>
    <cellStyle name="Percentuale 2 2 3 3 2" xfId="1399"/>
    <cellStyle name="Percentuale 2 2 4" xfId="1400"/>
    <cellStyle name="Percentuale 2 2 4 2" xfId="1401"/>
    <cellStyle name="Percentuale 2 2 4 2 2" xfId="1402"/>
    <cellStyle name="Percentuale 2 2 4 3" xfId="1403"/>
    <cellStyle name="Percentuale 2 2 4 3 2" xfId="1404"/>
    <cellStyle name="Percentuale 2 2 4 4" xfId="1405"/>
    <cellStyle name="Percentuale 2 2 5" xfId="1406"/>
    <cellStyle name="Percentuale 2 2 5 2" xfId="1407"/>
    <cellStyle name="Percentuale 2 2 6" xfId="1408"/>
    <cellStyle name="Percentuale 2 3" xfId="1409"/>
    <cellStyle name="Percentuale 2 3 2" xfId="1410"/>
    <cellStyle name="Percentuale 2 3 2 2" xfId="1411"/>
    <cellStyle name="Percentuale 2 3 2 2 2" xfId="1412"/>
    <cellStyle name="Percentuale 2 3 2 2 2 2" xfId="1413"/>
    <cellStyle name="Percentuale 2 3 2 2 3" xfId="1414"/>
    <cellStyle name="Percentuale 2 3 2 3" xfId="1415"/>
    <cellStyle name="Percentuale 2 3 2 3 2" xfId="1416"/>
    <cellStyle name="Percentuale 2 3 2 4" xfId="1417"/>
    <cellStyle name="Percentuale 2 3 2 4 2" xfId="1418"/>
    <cellStyle name="Percentuale 2 3 2 5" xfId="1419"/>
    <cellStyle name="Percentuale 2 3 2 5 2" xfId="1420"/>
    <cellStyle name="Percentuale 2 3 2 6" xfId="1421"/>
    <cellStyle name="Percentuale 2 3 3" xfId="1422"/>
    <cellStyle name="Percentuale 2 3 3 2" xfId="1423"/>
    <cellStyle name="Percentuale 2 3 3 2 2" xfId="1424"/>
    <cellStyle name="Percentuale 2 3 3 3" xfId="1425"/>
    <cellStyle name="Percentuale 2 3 3 3 2" xfId="1426"/>
    <cellStyle name="Percentuale 2 3 3 4" xfId="1427"/>
    <cellStyle name="Percentuale 2 3 3 4 2" xfId="1428"/>
    <cellStyle name="Percentuale 2 3 3 5" xfId="1429"/>
    <cellStyle name="Percentuale 2 3 4" xfId="1430"/>
    <cellStyle name="Percentuale 2 3 5" xfId="1431"/>
    <cellStyle name="Percentuale 2 3 5 2" xfId="1432"/>
    <cellStyle name="Percentuale 2 3 6" xfId="1433"/>
    <cellStyle name="Percentuale 2 3 6 2" xfId="1434"/>
    <cellStyle name="Percentuale 2 3 7" xfId="1435"/>
    <cellStyle name="Percentuale 2 4" xfId="1436"/>
    <cellStyle name="Percentuale 2 4 2" xfId="1437"/>
    <cellStyle name="Percentuale 2 4 3" xfId="1438"/>
    <cellStyle name="Percentuale 2 4 4" xfId="1439"/>
    <cellStyle name="Percentuale 2 4 5" xfId="1440"/>
    <cellStyle name="Percentuale 2 4 5 2" xfId="1441"/>
    <cellStyle name="Percentuale 2 5" xfId="1442"/>
    <cellStyle name="Percentuale 2 5 2" xfId="1443"/>
    <cellStyle name="Percentuale 2 5 2 2" xfId="1444"/>
    <cellStyle name="Percentuale 2 5 2 2 2" xfId="1445"/>
    <cellStyle name="Percentuale 2 5 2 3" xfId="1446"/>
    <cellStyle name="Percentuale 2 5 3" xfId="1447"/>
    <cellStyle name="Percentuale 2 5 3 2" xfId="1448"/>
    <cellStyle name="Percentuale 2 5 4" xfId="1449"/>
    <cellStyle name="Percentuale 2 5 4 2" xfId="1450"/>
    <cellStyle name="Percentuale 2 5 5" xfId="1451"/>
    <cellStyle name="Percentuale 2 5 5 2" xfId="1452"/>
    <cellStyle name="Percentuale 2 5 6" xfId="1453"/>
    <cellStyle name="Percentuale 2 6" xfId="1454"/>
    <cellStyle name="Percentuale 2 6 2" xfId="1455"/>
    <cellStyle name="Percentuale 2 6 2 2" xfId="1456"/>
    <cellStyle name="Percentuale 2 6 3" xfId="1457"/>
    <cellStyle name="Percentuale 2 7" xfId="1458"/>
    <cellStyle name="Percentuale 2 8" xfId="1459"/>
    <cellStyle name="Percentuale 2 8 2" xfId="1460"/>
    <cellStyle name="Percentuale 2 9" xfId="1461"/>
    <cellStyle name="Percentuale 2 9 2" xfId="1462"/>
    <cellStyle name="Percentuale 3" xfId="1463"/>
    <cellStyle name="Percentuale 3 2" xfId="1464"/>
    <cellStyle name="Percentuale 3 2 2" xfId="1465"/>
    <cellStyle name="Percentuale 3 2 2 2" xfId="1466"/>
    <cellStyle name="Percentuale 3 2 3" xfId="1467"/>
    <cellStyle name="Percentuale 3 3" xfId="1468"/>
    <cellStyle name="Percentuale 3 3 2" xfId="1469"/>
    <cellStyle name="Percentuale 3 3 3" xfId="1470"/>
    <cellStyle name="Percentuale 3 3 3 2" xfId="1471"/>
    <cellStyle name="Percentuale 3 4" xfId="1472"/>
    <cellStyle name="Percentuale 3 4 2" xfId="1473"/>
    <cellStyle name="Percentuale 3 4 2 2" xfId="1474"/>
    <cellStyle name="Percentuale 3 4 3" xfId="1475"/>
    <cellStyle name="Percentuale 3 4 3 2" xfId="1476"/>
    <cellStyle name="Percentuale 3 4 4" xfId="1477"/>
    <cellStyle name="Percentuale 3 5" xfId="1478"/>
    <cellStyle name="Percentuale 3 5 2" xfId="1479"/>
    <cellStyle name="Percentuale 3 6" xfId="1480"/>
    <cellStyle name="Percentuale 4" xfId="1481"/>
    <cellStyle name="Percentuale 4 2" xfId="1482"/>
    <cellStyle name="Percentuale 4 2 2" xfId="1483"/>
    <cellStyle name="Percentuale 4 2 2 2" xfId="1484"/>
    <cellStyle name="Percentuale 4 2 3" xfId="1485"/>
    <cellStyle name="Percentuale 4 2 3 2" xfId="1486"/>
    <cellStyle name="Percentuale 4 2 4" xfId="1487"/>
    <cellStyle name="Percentuale 4 3" xfId="1488"/>
    <cellStyle name="Percentuale 4 3 2" xfId="1489"/>
    <cellStyle name="Percentuale 4 3 2 2" xfId="1490"/>
    <cellStyle name="Percentuale 4 3 3" xfId="1491"/>
    <cellStyle name="Percentuale 4 3 3 2" xfId="1492"/>
    <cellStyle name="Percentuale 4 3 4" xfId="1493"/>
    <cellStyle name="Percentuale 4 4" xfId="1494"/>
    <cellStyle name="Percentuale 4 4 2" xfId="1495"/>
    <cellStyle name="Percentuale 4 5" xfId="1496"/>
    <cellStyle name="Percentuale 5" xfId="1497"/>
    <cellStyle name="Percentuale 5 2" xfId="1498"/>
    <cellStyle name="Percentuale 5 2 2" xfId="1499"/>
    <cellStyle name="Percentuale 5 3" xfId="1500"/>
    <cellStyle name="Risultato 1" xfId="1501"/>
    <cellStyle name="SAS FM Client calculated data cell (data entry table)" xfId="1502"/>
    <cellStyle name="SAS FM Client calculated data cell (data entry table) 2" xfId="1503"/>
    <cellStyle name="SAS FM Client calculated data cell (data entry table) 3" xfId="1504"/>
    <cellStyle name="SAS FM Client calculated data cell (data entry table) 3 2" xfId="1505"/>
    <cellStyle name="SAS FM Client calculated data cell (data entry table) 4" xfId="1506"/>
    <cellStyle name="SAS FM Client calculated data cell (read only table)" xfId="1507"/>
    <cellStyle name="SAS FM Client calculated data cell (read only table) 2" xfId="1508"/>
    <cellStyle name="SAS FM Client calculated data cell (read only table) 3" xfId="1509"/>
    <cellStyle name="SAS FM Client calculated data cell (read only table) 3 2" xfId="1510"/>
    <cellStyle name="SAS FM Client calculated data cell (read only table) 4" xfId="1511"/>
    <cellStyle name="SAS FM Column drillable header" xfId="1512"/>
    <cellStyle name="SAS FM Column drillable header 2" xfId="1513"/>
    <cellStyle name="SAS FM Column header" xfId="1514"/>
    <cellStyle name="SAS FM Column header 2" xfId="1515"/>
    <cellStyle name="SAS FM Drill path" xfId="1516"/>
    <cellStyle name="SAS FM Drill path 2" xfId="1517"/>
    <cellStyle name="SAS FM Invalid data cell" xfId="1518"/>
    <cellStyle name="SAS FM Invalid data cell 2" xfId="1519"/>
    <cellStyle name="SAS FM Invalid data cell 3" xfId="1520"/>
    <cellStyle name="SAS FM Invalid data cell 3 2" xfId="1521"/>
    <cellStyle name="SAS FM Invalid data cell 4" xfId="1522"/>
    <cellStyle name="SAS FM No query data cell" xfId="1523"/>
    <cellStyle name="SAS FM No query data cell 2" xfId="1524"/>
    <cellStyle name="SAS FM No query data cell 3" xfId="1525"/>
    <cellStyle name="SAS FM No query data cell 3 2" xfId="1526"/>
    <cellStyle name="SAS FM No query data cell 4" xfId="1527"/>
    <cellStyle name="SAS FM Protected member data cell" xfId="1528"/>
    <cellStyle name="SAS FM Protected member data cell 2" xfId="1529"/>
    <cellStyle name="SAS FM Protected member data cell 3" xfId="1530"/>
    <cellStyle name="SAS FM Protected member data cell 3 2" xfId="1531"/>
    <cellStyle name="SAS FM Protected member data cell 4" xfId="1532"/>
    <cellStyle name="SAS FM Read-only data cell (data entry table)" xfId="1533"/>
    <cellStyle name="SAS FM Read-only data cell (data entry table) 2" xfId="1534"/>
    <cellStyle name="SAS FM Read-only data cell (data entry table) 3" xfId="1535"/>
    <cellStyle name="SAS FM Read-only data cell (data entry table) 3 2" xfId="1536"/>
    <cellStyle name="SAS FM Read-only data cell (data entry table) 4" xfId="1537"/>
    <cellStyle name="SAS FM Read-only data cell (read-only table)" xfId="1538"/>
    <cellStyle name="SAS FM Read-only data cell (read-only table) 2" xfId="1539"/>
    <cellStyle name="SAS FM Read-only data cell (read-only table) 3" xfId="1540"/>
    <cellStyle name="SAS FM Read-only data cell (read-only table) 3 2" xfId="1541"/>
    <cellStyle name="SAS FM Read-only data cell (read-only table) 4" xfId="1542"/>
    <cellStyle name="SAS FM Row drillable header" xfId="1543"/>
    <cellStyle name="SAS FM Row drillable header 2" xfId="1544"/>
    <cellStyle name="SAS FM Row drillable header 2 2" xfId="1545"/>
    <cellStyle name="SAS FM Row drillable header 2 2 2" xfId="1546"/>
    <cellStyle name="SAS FM Row drillable header 3" xfId="1547"/>
    <cellStyle name="SAS FM Row drillable header 3 2" xfId="1548"/>
    <cellStyle name="SAS FM Row drillable header 3 3" xfId="1549"/>
    <cellStyle name="SAS FM Row drillable header 4" xfId="1550"/>
    <cellStyle name="SAS FM Row drillable header 4 2" xfId="1551"/>
    <cellStyle name="SAS FM Row drillable header 4 3" xfId="1552"/>
    <cellStyle name="SAS FM Row drillable header 4 4" xfId="1553"/>
    <cellStyle name="SAS FM Row drillable header 5" xfId="1554"/>
    <cellStyle name="SAS FM Row drillable header 6" xfId="1555"/>
    <cellStyle name="SAS FM Row header" xfId="1556"/>
    <cellStyle name="SAS FM Row header 2" xfId="1557"/>
    <cellStyle name="SAS FM Row header 2 2" xfId="1558"/>
    <cellStyle name="SAS FM Row header 2 2 2" xfId="1559"/>
    <cellStyle name="SAS FM Row header 3" xfId="1560"/>
    <cellStyle name="SAS FM Row header 4" xfId="1561"/>
    <cellStyle name="SAS FM Row header 4 2" xfId="1562"/>
    <cellStyle name="SAS FM Row header 4 3" xfId="1563"/>
    <cellStyle name="SAS FM Row header 5" xfId="1564"/>
    <cellStyle name="SAS FM Row header 5 2" xfId="1565"/>
    <cellStyle name="SAS FM Row header 5 3" xfId="1566"/>
    <cellStyle name="SAS FM Row header 6" xfId="1567"/>
    <cellStyle name="SAS FM Slicers" xfId="1568"/>
    <cellStyle name="SAS FM Slicers 2" xfId="1569"/>
    <cellStyle name="SAS FM Supplemented member data cell" xfId="1570"/>
    <cellStyle name="SAS FM Supplemented member data cell 2" xfId="1571"/>
    <cellStyle name="SAS FM Supplemented member data cell 3" xfId="1572"/>
    <cellStyle name="SAS FM Supplemented member data cell 3 2" xfId="1573"/>
    <cellStyle name="SAS FM Supplemented member data cell 4" xfId="1574"/>
    <cellStyle name="SAS FM Writeable data cell" xfId="1575"/>
    <cellStyle name="SAS FM Writeable data cell 2" xfId="1576"/>
    <cellStyle name="SAS FM Writeable data cell 3" xfId="1577"/>
    <cellStyle name="SAS FM Writeable data cell 3 2" xfId="1578"/>
    <cellStyle name="SAS FM Writeable data cell 4" xfId="1579"/>
    <cellStyle name="Testo avviso" xfId="1580"/>
    <cellStyle name="Testo avviso 2" xfId="1581"/>
    <cellStyle name="Testo descrittivo" xfId="1582"/>
    <cellStyle name="Testo descrittivo 2" xfId="1583"/>
    <cellStyle name="Testo descrittivo 2 2" xfId="1584"/>
    <cellStyle name="Titolo" xfId="1585"/>
    <cellStyle name="Titolo 1" xfId="1586"/>
    <cellStyle name="Titolo 1 2" xfId="1587"/>
    <cellStyle name="Titolo 1 2 2" xfId="1588"/>
    <cellStyle name="Titolo 2" xfId="1589"/>
    <cellStyle name="Titolo 2 2" xfId="1590"/>
    <cellStyle name="Titolo 2 2 2" xfId="1591"/>
    <cellStyle name="Titolo 3" xfId="1592"/>
    <cellStyle name="Titolo 3 2" xfId="1593"/>
    <cellStyle name="Titolo 3 2 2" xfId="1594"/>
    <cellStyle name="Titolo 4" xfId="1595"/>
    <cellStyle name="Titolo 4 2" xfId="1596"/>
    <cellStyle name="Titolo 4 2 2" xfId="1597"/>
    <cellStyle name="Titolo 5" xfId="1598"/>
    <cellStyle name="Titolo 5 2" xfId="1599"/>
    <cellStyle name="Titolo 6" xfId="1600"/>
    <cellStyle name="Totale" xfId="1601"/>
    <cellStyle name="Totale 2" xfId="1602"/>
    <cellStyle name="Totale 2 2" xfId="1603"/>
    <cellStyle name="Valore non valido" xfId="1604"/>
    <cellStyle name="Valore non valido 2" xfId="1605"/>
    <cellStyle name="Valore tabella pivot" xfId="1606"/>
    <cellStyle name="Valore valido" xfId="1607"/>
    <cellStyle name="Valore valido 2" xfId="1608"/>
    <cellStyle name="Currency" xfId="1609"/>
    <cellStyle name="Currency [0]" xfId="1610"/>
    <cellStyle name="Valuta [0] 2" xfId="1611"/>
    <cellStyle name="Valuta [0] 2 2" xfId="1612"/>
    <cellStyle name="Valuta [0] 3" xfId="1613"/>
    <cellStyle name="Valuta [0] 3 2" xfId="1614"/>
    <cellStyle name="Valuta 2" xfId="1615"/>
    <cellStyle name="Valuta 3" xfId="1616"/>
    <cellStyle name="Valuta 3 2" xfId="1617"/>
    <cellStyle name="Valuta 3 2 2" xfId="1618"/>
    <cellStyle name="Valuta 3 3" xfId="1619"/>
    <cellStyle name="Valuta 3 4" xfId="1620"/>
  </cellStyles>
  <dxfs count="7">
    <dxf>
      <font>
        <b/>
        <i val="0"/>
        <name val="Cambria"/>
        <color auto="1"/>
      </font>
      <fill>
        <patternFill>
          <bgColor theme="9" tint="0.599960029125213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rgb="FF006100"/>
      </font>
      <fill>
        <patternFill>
          <bgColor rgb="FFC6EFCE"/>
        </patternFill>
      </fill>
      <border/>
    </dxf>
    <dxf>
      <font>
        <b/>
        <i val="0"/>
        <color auto="1"/>
      </font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0.16.237\e$\Users\mozzanicad\AppData\Local\Temp\wz1a06\Users\BasilicoA\Desktop\MODELLI%20PIANO%20INVESTIMENTI-SINTPREV\ASL.BDG.FINANZIARIO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.FONTI DI FINAN.-NUOVA "/>
      <sheetName val="BDG 2012"/>
      <sheetName val="Tesoreria "/>
      <sheetName val="DETT. CONTRIBUTI.CAP."/>
      <sheetName val="SK1.EROG.PUBBL.SAN.2012"/>
      <sheetName val="SK1.EROG.SAN.2011.E.PREC."/>
      <sheetName val="QUADRATURE"/>
    </sheetNames>
    <sheetDataSet>
      <sheetData sheetId="5">
        <row r="8">
          <cell r="AF8" t="str">
            <v>Privato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48" bestFit="1" customWidth="1"/>
    <col min="2" max="2" width="12.421875" style="48" bestFit="1" customWidth="1"/>
    <col min="3" max="16384" width="9.140625" style="48" customWidth="1"/>
  </cols>
  <sheetData>
    <row r="1" spans="1:2" ht="12.75">
      <c r="A1" s="76" t="s">
        <v>0</v>
      </c>
      <c r="B1" s="48" t="s">
        <v>1</v>
      </c>
    </row>
    <row r="2" spans="1:2" ht="12.75">
      <c r="A2" s="76" t="str">
        <f>UPPER(Info!$B$8)</f>
        <v>V2</v>
      </c>
      <c r="B2" s="76">
        <f>UPPER(Info!$D$5)</f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107"/>
  <sheetViews>
    <sheetView showGridLines="0" zoomScale="70" zoomScaleNormal="70" zoomScaleSheetLayoutView="39" zoomScalePageLayoutView="0" workbookViewId="0" topLeftCell="B10">
      <selection activeCell="D12" sqref="D12"/>
    </sheetView>
  </sheetViews>
  <sheetFormatPr defaultColWidth="9.140625" defaultRowHeight="15"/>
  <cols>
    <col min="1" max="1" width="15.28125" style="49" hidden="1" customWidth="1"/>
    <col min="2" max="2" width="152.7109375" style="49" customWidth="1"/>
    <col min="3" max="3" width="36.8515625" style="49" customWidth="1"/>
    <col min="4" max="4" width="35.57421875" style="49" customWidth="1"/>
    <col min="5" max="5" width="36.57421875" style="49" customWidth="1"/>
    <col min="6" max="6" width="37.7109375" style="49" customWidth="1"/>
    <col min="7" max="7" width="34.57421875" style="49" customWidth="1"/>
    <col min="8" max="8" width="35.28125" style="49" customWidth="1"/>
    <col min="9" max="9" width="36.8515625" style="49" customWidth="1"/>
    <col min="10" max="10" width="48.421875" style="49" customWidth="1"/>
    <col min="11" max="11" width="15.00390625" style="49" bestFit="1" customWidth="1"/>
    <col min="12" max="16384" width="9.140625" style="49" customWidth="1"/>
  </cols>
  <sheetData>
    <row r="2" spans="2:3" ht="18.75">
      <c r="B2" s="50" t="s">
        <v>307</v>
      </c>
      <c r="C2" s="51" t="s">
        <v>308</v>
      </c>
    </row>
    <row r="3" spans="2:3" ht="26.25">
      <c r="B3" s="52" t="str">
        <f>Info!$C$2</f>
        <v>ASST SANTI PAOLO E CARLO</v>
      </c>
      <c r="C3" s="52" t="str">
        <f>Info!$B$2</f>
        <v>702</v>
      </c>
    </row>
    <row r="6" spans="2:46" s="53" customFormat="1" ht="48" customHeight="1">
      <c r="B6" s="54" t="s">
        <v>553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</row>
    <row r="8" spans="2:10" ht="36.75" customHeight="1">
      <c r="B8" s="12" t="s">
        <v>554</v>
      </c>
      <c r="C8" s="235" t="str">
        <f>Info!B3-1&amp;" E PRECEDENTI"</f>
        <v>2015 E PRECEDENTI</v>
      </c>
      <c r="D8" s="414"/>
      <c r="E8" s="236" t="s">
        <v>490</v>
      </c>
      <c r="F8" s="69"/>
      <c r="G8" s="69"/>
      <c r="H8" s="69"/>
      <c r="I8" s="69"/>
      <c r="J8" s="69"/>
    </row>
    <row r="9" spans="1:10" ht="26.25">
      <c r="A9" s="49" t="s">
        <v>555</v>
      </c>
      <c r="B9" s="232" t="str">
        <f>IF(ISERROR(VLOOKUP("LR23_EX1_"&amp;$C$3,MAPP_ENTI!$A$2:$D$100,4,FALSE)),"",VLOOKUP("LR23_EX1_"&amp;$C$3,MAPP_ENTI!$A$2:$D$100,4,FALSE))</f>
        <v>970 - A.O. S.PAOLO - MILANO</v>
      </c>
      <c r="C9" s="423">
        <v>237863</v>
      </c>
      <c r="D9" s="414"/>
      <c r="E9" s="220" t="s">
        <v>899</v>
      </c>
      <c r="F9" s="70"/>
      <c r="G9" s="70"/>
      <c r="H9" s="70"/>
      <c r="I9" s="70"/>
      <c r="J9" s="70"/>
    </row>
    <row r="10" spans="1:10" ht="26.25">
      <c r="A10" s="49" t="s">
        <v>556</v>
      </c>
      <c r="B10" s="233" t="str">
        <f>IF(ISERROR(VLOOKUP("LR23_EX2_"&amp;$C$3,MAPP_ENTI!$A$2:$D$100,4,FALSE)),"",VLOOKUP("LR23_EX2_"&amp;$C$3,MAPP_ENTI!$A$2:$D$100,4,FALSE))</f>
        <v>972 - A.O. S.CARLO BORROMEO - MILANO</v>
      </c>
      <c r="C10" s="223">
        <v>102451</v>
      </c>
      <c r="D10" s="414"/>
      <c r="E10" s="378" t="s">
        <v>899</v>
      </c>
      <c r="F10" s="71"/>
      <c r="G10" s="71"/>
      <c r="H10" s="71"/>
      <c r="I10" s="71"/>
      <c r="J10" s="71"/>
    </row>
    <row r="11" spans="1:10" ht="26.25">
      <c r="A11" s="49" t="s">
        <v>557</v>
      </c>
      <c r="B11" s="233">
        <f>IF(ISERROR(VLOOKUP("LR23_EX3_"&amp;$C$3,MAPP_ENTI!$A$2:$D$100,4,FALSE)),"",VLOOKUP("LR23_EX3_"&amp;$C$3,MAPP_ENTI!$A$2:$D$100,4,FALSE))</f>
      </c>
      <c r="C11" s="223"/>
      <c r="D11" s="414"/>
      <c r="E11" s="226"/>
      <c r="F11" s="71"/>
      <c r="G11" s="71"/>
      <c r="H11" s="71"/>
      <c r="I11" s="71"/>
      <c r="J11" s="71"/>
    </row>
    <row r="12" spans="1:10" ht="26.25">
      <c r="A12" s="49" t="s">
        <v>558</v>
      </c>
      <c r="B12" s="233">
        <f>IF(ISERROR(VLOOKUP("LR23_EX4_"&amp;$C$3,MAPP_ENTI!$A$2:$D$100,4,FALSE)),"",VLOOKUP("LR23_EX4_"&amp;$C$3,MAPP_ENTI!$A$2:$D$100,4,FALSE))</f>
      </c>
      <c r="C12" s="223"/>
      <c r="D12" s="414"/>
      <c r="E12" s="226"/>
      <c r="F12" s="71"/>
      <c r="G12" s="71"/>
      <c r="H12" s="71"/>
      <c r="I12" s="71"/>
      <c r="J12" s="71"/>
    </row>
    <row r="13" spans="1:10" ht="26.25">
      <c r="A13" s="49" t="s">
        <v>559</v>
      </c>
      <c r="B13" s="233">
        <f>IF(ISERROR(VLOOKUP("LR23_EX5_"&amp;$C$3,MAPP_ENTI!$A$2:$D$100,4,FALSE)),"",VLOOKUP("LR23_EX5_"&amp;$C$3,MAPP_ENTI!$A$2:$D$100,4,FALSE))</f>
      </c>
      <c r="C13" s="223"/>
      <c r="D13" s="414"/>
      <c r="E13" s="226"/>
      <c r="F13" s="71"/>
      <c r="G13" s="71"/>
      <c r="H13" s="71"/>
      <c r="I13" s="71"/>
      <c r="J13" s="71"/>
    </row>
    <row r="14" spans="1:10" ht="26.25">
      <c r="A14" s="49" t="s">
        <v>560</v>
      </c>
      <c r="B14" s="233">
        <f>IF(ISERROR(VLOOKUP("LR23_EX6_"&amp;$C$3,MAPP_ENTI!$A$2:$D$100,4,FALSE)),"",VLOOKUP("LR23_EX6_"&amp;$C$3,MAPP_ENTI!$A$2:$D$100,4,FALSE))</f>
      </c>
      <c r="C14" s="223"/>
      <c r="D14" s="414"/>
      <c r="E14" s="226"/>
      <c r="F14" s="71"/>
      <c r="G14" s="71"/>
      <c r="H14" s="71"/>
      <c r="I14" s="71"/>
      <c r="J14" s="71"/>
    </row>
    <row r="15" spans="1:10" ht="26.25">
      <c r="A15" s="49" t="s">
        <v>561</v>
      </c>
      <c r="B15" s="234">
        <f>IF(ISERROR(VLOOKUP("LR23_EX7_"&amp;$C$3,MAPP_ENTI!$A$2:$D$100,4,FALSE)),"",VLOOKUP("LR23_EX7_"&amp;$C$3,MAPP_ENTI!$A$2:$D$100,4,FALSE))</f>
      </c>
      <c r="C15" s="228"/>
      <c r="D15" s="414"/>
      <c r="E15" s="229"/>
      <c r="F15" s="71"/>
      <c r="G15" s="71"/>
      <c r="H15" s="71"/>
      <c r="I15" s="71"/>
      <c r="J15" s="71"/>
    </row>
    <row r="16" spans="1:10" ht="18.75">
      <c r="A16" s="49" t="s">
        <v>562</v>
      </c>
      <c r="B16" s="237" t="s">
        <v>563</v>
      </c>
      <c r="C16" s="238">
        <f>SUM(C9:C15)</f>
        <v>340314</v>
      </c>
      <c r="D16" s="414"/>
      <c r="E16" s="414"/>
      <c r="F16" s="72"/>
      <c r="G16" s="72"/>
      <c r="H16" s="72"/>
      <c r="I16" s="72"/>
      <c r="J16" s="72"/>
    </row>
    <row r="18" ht="26.25">
      <c r="B18" s="73"/>
    </row>
    <row r="19" spans="2:10" ht="26.25">
      <c r="B19" s="68" t="s">
        <v>564</v>
      </c>
      <c r="C19" s="86" t="str">
        <f>MID($B9,1,3)</f>
        <v>970</v>
      </c>
      <c r="D19" s="86" t="str">
        <f>MID($B10,1,3)</f>
        <v>972</v>
      </c>
      <c r="E19" s="86">
        <f>MID($B11,1,3)</f>
      </c>
      <c r="F19" s="86">
        <f>MID($B12,1,3)</f>
      </c>
      <c r="G19" s="86">
        <f>MID($B13,1,3)</f>
      </c>
      <c r="H19" s="86">
        <f>MID($B14,1,3)</f>
      </c>
      <c r="I19" s="86">
        <f>MID($B15,1,3)</f>
      </c>
      <c r="J19" s="68" t="s">
        <v>565</v>
      </c>
    </row>
    <row r="20" spans="1:10" ht="26.25">
      <c r="A20" s="49" t="s">
        <v>566</v>
      </c>
      <c r="B20" s="78" t="s">
        <v>337</v>
      </c>
      <c r="C20" s="64">
        <f>SUM(C21:C40)</f>
        <v>216389</v>
      </c>
      <c r="D20" s="64">
        <f aca="true" t="shared" si="0" ref="D20:I20">SUM(D21:D40)</f>
        <v>37683</v>
      </c>
      <c r="E20" s="64">
        <f t="shared" si="0"/>
        <v>0</v>
      </c>
      <c r="F20" s="64">
        <f t="shared" si="0"/>
        <v>0</v>
      </c>
      <c r="G20" s="64">
        <f t="shared" si="0"/>
        <v>0</v>
      </c>
      <c r="H20" s="64">
        <f t="shared" si="0"/>
        <v>0</v>
      </c>
      <c r="I20" s="64">
        <f t="shared" si="0"/>
        <v>0</v>
      </c>
      <c r="J20" s="87">
        <f aca="true" t="shared" si="1" ref="J20:J61">SUM(C20:I20)</f>
        <v>254072</v>
      </c>
    </row>
    <row r="21" spans="1:10" ht="20.25" customHeight="1">
      <c r="A21" s="49" t="s">
        <v>567</v>
      </c>
      <c r="B21" s="424" t="s">
        <v>845</v>
      </c>
      <c r="C21" s="424">
        <v>88660</v>
      </c>
      <c r="D21" s="164"/>
      <c r="E21" s="164"/>
      <c r="F21" s="164"/>
      <c r="G21" s="164"/>
      <c r="H21" s="164"/>
      <c r="I21" s="164"/>
      <c r="J21" s="256">
        <f t="shared" si="1"/>
        <v>88660</v>
      </c>
    </row>
    <row r="22" spans="1:10" ht="18.75">
      <c r="A22" s="49" t="s">
        <v>568</v>
      </c>
      <c r="B22" s="425" t="s">
        <v>846</v>
      </c>
      <c r="C22" s="425">
        <v>41355</v>
      </c>
      <c r="D22" s="143"/>
      <c r="E22" s="143"/>
      <c r="F22" s="143"/>
      <c r="G22" s="143"/>
      <c r="H22" s="143"/>
      <c r="I22" s="143"/>
      <c r="J22" s="257">
        <f t="shared" si="1"/>
        <v>41355</v>
      </c>
    </row>
    <row r="23" spans="1:10" ht="18.75">
      <c r="A23" s="49" t="s">
        <v>569</v>
      </c>
      <c r="B23" s="425" t="s">
        <v>847</v>
      </c>
      <c r="C23" s="425">
        <v>1000</v>
      </c>
      <c r="D23" s="143"/>
      <c r="E23" s="143"/>
      <c r="F23" s="143"/>
      <c r="G23" s="143"/>
      <c r="H23" s="143"/>
      <c r="I23" s="143"/>
      <c r="J23" s="257">
        <f t="shared" si="1"/>
        <v>1000</v>
      </c>
    </row>
    <row r="24" spans="1:10" ht="18.75">
      <c r="A24" s="49" t="s">
        <v>570</v>
      </c>
      <c r="B24" s="425" t="s">
        <v>848</v>
      </c>
      <c r="C24" s="425">
        <v>1987</v>
      </c>
      <c r="D24" s="143"/>
      <c r="E24" s="143"/>
      <c r="F24" s="143"/>
      <c r="G24" s="143"/>
      <c r="H24" s="143"/>
      <c r="I24" s="143"/>
      <c r="J24" s="257">
        <f t="shared" si="1"/>
        <v>1987</v>
      </c>
    </row>
    <row r="25" spans="1:10" ht="18.75">
      <c r="A25" s="49" t="s">
        <v>571</v>
      </c>
      <c r="B25" s="425" t="s">
        <v>849</v>
      </c>
      <c r="C25" s="425">
        <v>3109</v>
      </c>
      <c r="D25" s="143"/>
      <c r="E25" s="143"/>
      <c r="F25" s="143"/>
      <c r="G25" s="143"/>
      <c r="H25" s="143"/>
      <c r="I25" s="143"/>
      <c r="J25" s="257">
        <f t="shared" si="1"/>
        <v>3109</v>
      </c>
    </row>
    <row r="26" spans="1:10" ht="18.75">
      <c r="A26" s="49" t="s">
        <v>572</v>
      </c>
      <c r="B26" s="425" t="s">
        <v>850</v>
      </c>
      <c r="C26" s="425">
        <v>151</v>
      </c>
      <c r="D26" s="143"/>
      <c r="E26" s="143"/>
      <c r="F26" s="143"/>
      <c r="G26" s="143"/>
      <c r="H26" s="143"/>
      <c r="I26" s="143"/>
      <c r="J26" s="257">
        <f t="shared" si="1"/>
        <v>151</v>
      </c>
    </row>
    <row r="27" spans="1:10" ht="18.75">
      <c r="A27" s="49" t="s">
        <v>573</v>
      </c>
      <c r="B27" s="425" t="s">
        <v>851</v>
      </c>
      <c r="C27" s="425">
        <v>232</v>
      </c>
      <c r="D27" s="143"/>
      <c r="E27" s="143"/>
      <c r="F27" s="143"/>
      <c r="G27" s="143"/>
      <c r="H27" s="143"/>
      <c r="I27" s="143"/>
      <c r="J27" s="257">
        <f t="shared" si="1"/>
        <v>232</v>
      </c>
    </row>
    <row r="28" spans="1:10" ht="18.75">
      <c r="A28" s="49" t="s">
        <v>574</v>
      </c>
      <c r="B28" s="425" t="s">
        <v>852</v>
      </c>
      <c r="C28" s="425">
        <v>3790</v>
      </c>
      <c r="D28" s="143"/>
      <c r="E28" s="143"/>
      <c r="F28" s="143"/>
      <c r="G28" s="143"/>
      <c r="H28" s="143"/>
      <c r="I28" s="143"/>
      <c r="J28" s="257">
        <f t="shared" si="1"/>
        <v>3790</v>
      </c>
    </row>
    <row r="29" spans="1:10" ht="18.75">
      <c r="A29" s="49" t="s">
        <v>575</v>
      </c>
      <c r="B29" s="425" t="s">
        <v>853</v>
      </c>
      <c r="C29" s="425">
        <v>1000</v>
      </c>
      <c r="D29" s="143"/>
      <c r="E29" s="143"/>
      <c r="F29" s="143"/>
      <c r="G29" s="143"/>
      <c r="H29" s="143"/>
      <c r="I29" s="143"/>
      <c r="J29" s="257">
        <f t="shared" si="1"/>
        <v>1000</v>
      </c>
    </row>
    <row r="30" spans="1:10" ht="18.75">
      <c r="A30" s="49" t="s">
        <v>576</v>
      </c>
      <c r="B30" s="425" t="s">
        <v>854</v>
      </c>
      <c r="C30" s="425">
        <v>75105</v>
      </c>
      <c r="D30" s="143"/>
      <c r="E30" s="143"/>
      <c r="F30" s="143"/>
      <c r="G30" s="143"/>
      <c r="H30" s="143"/>
      <c r="I30" s="143"/>
      <c r="J30" s="257">
        <f t="shared" si="1"/>
        <v>75105</v>
      </c>
    </row>
    <row r="31" spans="1:10" ht="18.75">
      <c r="A31" s="49" t="s">
        <v>577</v>
      </c>
      <c r="B31" s="143" t="s">
        <v>878</v>
      </c>
      <c r="C31" s="143"/>
      <c r="D31" s="143">
        <v>3349</v>
      </c>
      <c r="E31" s="143"/>
      <c r="F31" s="143"/>
      <c r="G31" s="143"/>
      <c r="H31" s="143"/>
      <c r="I31" s="143"/>
      <c r="J31" s="257">
        <f t="shared" si="1"/>
        <v>3349</v>
      </c>
    </row>
    <row r="32" spans="1:10" ht="18.75">
      <c r="A32" s="49" t="s">
        <v>578</v>
      </c>
      <c r="B32" s="143" t="s">
        <v>879</v>
      </c>
      <c r="C32" s="143"/>
      <c r="D32" s="143">
        <v>27081</v>
      </c>
      <c r="E32" s="143"/>
      <c r="F32" s="143"/>
      <c r="G32" s="143"/>
      <c r="H32" s="143"/>
      <c r="I32" s="143"/>
      <c r="J32" s="257">
        <f t="shared" si="1"/>
        <v>27081</v>
      </c>
    </row>
    <row r="33" spans="1:10" ht="18.75">
      <c r="A33" s="49" t="s">
        <v>579</v>
      </c>
      <c r="B33" s="143" t="s">
        <v>880</v>
      </c>
      <c r="C33" s="143"/>
      <c r="D33" s="143">
        <v>7253</v>
      </c>
      <c r="E33" s="143"/>
      <c r="F33" s="143"/>
      <c r="G33" s="143"/>
      <c r="H33" s="143"/>
      <c r="I33" s="143"/>
      <c r="J33" s="257">
        <f t="shared" si="1"/>
        <v>7253</v>
      </c>
    </row>
    <row r="34" spans="1:10" ht="18.75">
      <c r="A34" s="49" t="s">
        <v>580</v>
      </c>
      <c r="B34" s="143"/>
      <c r="C34" s="143"/>
      <c r="D34" s="143"/>
      <c r="E34" s="143"/>
      <c r="F34" s="143"/>
      <c r="G34" s="143"/>
      <c r="H34" s="143"/>
      <c r="I34" s="143"/>
      <c r="J34" s="257">
        <f t="shared" si="1"/>
        <v>0</v>
      </c>
    </row>
    <row r="35" spans="1:10" ht="18.75">
      <c r="A35" s="49" t="s">
        <v>581</v>
      </c>
      <c r="B35" s="143"/>
      <c r="C35" s="143"/>
      <c r="D35" s="143"/>
      <c r="E35" s="143"/>
      <c r="F35" s="143"/>
      <c r="G35" s="143"/>
      <c r="H35" s="143"/>
      <c r="I35" s="143"/>
      <c r="J35" s="257">
        <f t="shared" si="1"/>
        <v>0</v>
      </c>
    </row>
    <row r="36" spans="1:10" ht="18.75">
      <c r="A36" s="49" t="s">
        <v>582</v>
      </c>
      <c r="B36" s="143"/>
      <c r="C36" s="143"/>
      <c r="D36" s="143"/>
      <c r="E36" s="143"/>
      <c r="F36" s="143"/>
      <c r="G36" s="143"/>
      <c r="H36" s="143"/>
      <c r="I36" s="143"/>
      <c r="J36" s="257">
        <f t="shared" si="1"/>
        <v>0</v>
      </c>
    </row>
    <row r="37" spans="1:10" ht="18.75">
      <c r="A37" s="49" t="s">
        <v>583</v>
      </c>
      <c r="B37" s="143"/>
      <c r="C37" s="143"/>
      <c r="D37" s="143"/>
      <c r="E37" s="143"/>
      <c r="F37" s="143"/>
      <c r="G37" s="143"/>
      <c r="H37" s="143"/>
      <c r="I37" s="143"/>
      <c r="J37" s="257">
        <f t="shared" si="1"/>
        <v>0</v>
      </c>
    </row>
    <row r="38" spans="1:10" ht="18.75">
      <c r="A38" s="49" t="s">
        <v>584</v>
      </c>
      <c r="B38" s="143"/>
      <c r="C38" s="143"/>
      <c r="D38" s="143"/>
      <c r="E38" s="143"/>
      <c r="F38" s="143"/>
      <c r="G38" s="143"/>
      <c r="H38" s="143"/>
      <c r="I38" s="143"/>
      <c r="J38" s="257">
        <f t="shared" si="1"/>
        <v>0</v>
      </c>
    </row>
    <row r="39" spans="1:10" ht="18.75">
      <c r="A39" s="49" t="s">
        <v>585</v>
      </c>
      <c r="B39" s="143"/>
      <c r="C39" s="143"/>
      <c r="D39" s="143"/>
      <c r="E39" s="143"/>
      <c r="F39" s="143"/>
      <c r="G39" s="143"/>
      <c r="H39" s="143"/>
      <c r="I39" s="143"/>
      <c r="J39" s="257">
        <f t="shared" si="1"/>
        <v>0</v>
      </c>
    </row>
    <row r="40" spans="1:10" ht="18.75">
      <c r="A40" s="49" t="s">
        <v>586</v>
      </c>
      <c r="B40" s="141"/>
      <c r="C40" s="141"/>
      <c r="D40" s="141"/>
      <c r="E40" s="141"/>
      <c r="F40" s="141"/>
      <c r="G40" s="141"/>
      <c r="H40" s="141"/>
      <c r="I40" s="141"/>
      <c r="J40" s="258">
        <f t="shared" si="1"/>
        <v>0</v>
      </c>
    </row>
    <row r="41" spans="1:10" ht="26.25">
      <c r="A41" s="49" t="s">
        <v>587</v>
      </c>
      <c r="B41" s="79" t="s">
        <v>343</v>
      </c>
      <c r="C41" s="80">
        <f>SUM(C42:C61)</f>
        <v>2879</v>
      </c>
      <c r="D41" s="80">
        <f aca="true" t="shared" si="2" ref="D41:I41">SUM(D42:D61)</f>
        <v>23613</v>
      </c>
      <c r="E41" s="80">
        <f t="shared" si="2"/>
        <v>0</v>
      </c>
      <c r="F41" s="80">
        <f t="shared" si="2"/>
        <v>0</v>
      </c>
      <c r="G41" s="80">
        <f t="shared" si="2"/>
        <v>0</v>
      </c>
      <c r="H41" s="80">
        <f t="shared" si="2"/>
        <v>0</v>
      </c>
      <c r="I41" s="80">
        <f t="shared" si="2"/>
        <v>0</v>
      </c>
      <c r="J41" s="80">
        <f t="shared" si="1"/>
        <v>26492</v>
      </c>
    </row>
    <row r="42" spans="1:10" ht="18.75">
      <c r="A42" s="49" t="s">
        <v>588</v>
      </c>
      <c r="B42" s="424" t="s">
        <v>855</v>
      </c>
      <c r="C42" s="424">
        <v>106</v>
      </c>
      <c r="D42" s="164"/>
      <c r="E42" s="164"/>
      <c r="F42" s="164"/>
      <c r="G42" s="164"/>
      <c r="H42" s="164"/>
      <c r="I42" s="164"/>
      <c r="J42" s="256">
        <f t="shared" si="1"/>
        <v>106</v>
      </c>
    </row>
    <row r="43" spans="1:10" ht="18.75">
      <c r="A43" s="49" t="s">
        <v>589</v>
      </c>
      <c r="B43" s="425" t="s">
        <v>856</v>
      </c>
      <c r="C43" s="425">
        <v>109</v>
      </c>
      <c r="D43" s="143"/>
      <c r="E43" s="143"/>
      <c r="F43" s="143"/>
      <c r="G43" s="143"/>
      <c r="H43" s="143"/>
      <c r="I43" s="143"/>
      <c r="J43" s="257">
        <f t="shared" si="1"/>
        <v>109</v>
      </c>
    </row>
    <row r="44" spans="1:10" ht="18.75">
      <c r="A44" s="49" t="s">
        <v>590</v>
      </c>
      <c r="B44" s="425" t="s">
        <v>857</v>
      </c>
      <c r="C44" s="425">
        <v>195</v>
      </c>
      <c r="D44" s="143"/>
      <c r="E44" s="143"/>
      <c r="F44" s="143"/>
      <c r="G44" s="143"/>
      <c r="H44" s="143"/>
      <c r="I44" s="143"/>
      <c r="J44" s="257">
        <f t="shared" si="1"/>
        <v>195</v>
      </c>
    </row>
    <row r="45" spans="1:10" ht="18.75">
      <c r="A45" s="49" t="s">
        <v>591</v>
      </c>
      <c r="B45" s="425" t="s">
        <v>858</v>
      </c>
      <c r="C45" s="425">
        <v>1446</v>
      </c>
      <c r="D45" s="143"/>
      <c r="E45" s="143"/>
      <c r="F45" s="143"/>
      <c r="G45" s="143"/>
      <c r="H45" s="143"/>
      <c r="I45" s="143"/>
      <c r="J45" s="257">
        <f t="shared" si="1"/>
        <v>1446</v>
      </c>
    </row>
    <row r="46" spans="1:10" ht="18.75">
      <c r="A46" s="49" t="s">
        <v>592</v>
      </c>
      <c r="B46" s="425" t="s">
        <v>859</v>
      </c>
      <c r="C46" s="425">
        <v>119</v>
      </c>
      <c r="D46" s="143"/>
      <c r="E46" s="143"/>
      <c r="F46" s="143"/>
      <c r="G46" s="143"/>
      <c r="H46" s="143"/>
      <c r="I46" s="143"/>
      <c r="J46" s="257">
        <f t="shared" si="1"/>
        <v>119</v>
      </c>
    </row>
    <row r="47" spans="1:10" ht="18.75">
      <c r="A47" s="49" t="s">
        <v>593</v>
      </c>
      <c r="B47" s="425" t="s">
        <v>860</v>
      </c>
      <c r="C47" s="425">
        <v>105</v>
      </c>
      <c r="D47" s="143"/>
      <c r="E47" s="143"/>
      <c r="F47" s="143"/>
      <c r="G47" s="143"/>
      <c r="H47" s="143"/>
      <c r="I47" s="143"/>
      <c r="J47" s="257">
        <f t="shared" si="1"/>
        <v>105</v>
      </c>
    </row>
    <row r="48" spans="1:10" ht="18.75">
      <c r="A48" s="49" t="s">
        <v>594</v>
      </c>
      <c r="B48" s="425" t="s">
        <v>861</v>
      </c>
      <c r="C48" s="425">
        <v>300</v>
      </c>
      <c r="D48" s="143"/>
      <c r="E48" s="143"/>
      <c r="F48" s="143"/>
      <c r="G48" s="143"/>
      <c r="H48" s="143"/>
      <c r="I48" s="143"/>
      <c r="J48" s="257">
        <f t="shared" si="1"/>
        <v>300</v>
      </c>
    </row>
    <row r="49" spans="1:10" ht="37.5">
      <c r="A49" s="49" t="s">
        <v>595</v>
      </c>
      <c r="B49" s="425" t="s">
        <v>862</v>
      </c>
      <c r="C49" s="425">
        <v>1</v>
      </c>
      <c r="D49" s="143"/>
      <c r="E49" s="143"/>
      <c r="F49" s="143"/>
      <c r="G49" s="143"/>
      <c r="H49" s="143"/>
      <c r="I49" s="143"/>
      <c r="J49" s="257">
        <f t="shared" si="1"/>
        <v>1</v>
      </c>
    </row>
    <row r="50" spans="1:10" ht="37.5">
      <c r="A50" s="49" t="s">
        <v>596</v>
      </c>
      <c r="B50" s="425" t="s">
        <v>863</v>
      </c>
      <c r="C50" s="425">
        <v>240</v>
      </c>
      <c r="D50" s="143"/>
      <c r="E50" s="143"/>
      <c r="F50" s="143"/>
      <c r="G50" s="143"/>
      <c r="H50" s="143"/>
      <c r="I50" s="143"/>
      <c r="J50" s="257">
        <f t="shared" si="1"/>
        <v>240</v>
      </c>
    </row>
    <row r="51" spans="1:10" ht="18.75">
      <c r="A51" s="49" t="s">
        <v>597</v>
      </c>
      <c r="B51" s="425" t="s">
        <v>864</v>
      </c>
      <c r="C51" s="425">
        <v>258</v>
      </c>
      <c r="D51" s="143"/>
      <c r="E51" s="143"/>
      <c r="F51" s="143"/>
      <c r="G51" s="143"/>
      <c r="H51" s="143"/>
      <c r="I51" s="143"/>
      <c r="J51" s="257">
        <f t="shared" si="1"/>
        <v>258</v>
      </c>
    </row>
    <row r="52" spans="1:10" ht="18.75">
      <c r="A52" s="49" t="s">
        <v>598</v>
      </c>
      <c r="B52" s="143" t="s">
        <v>881</v>
      </c>
      <c r="C52" s="143"/>
      <c r="D52" s="143">
        <v>20137</v>
      </c>
      <c r="E52" s="143"/>
      <c r="F52" s="143"/>
      <c r="G52" s="143"/>
      <c r="H52" s="143"/>
      <c r="I52" s="143"/>
      <c r="J52" s="257">
        <f t="shared" si="1"/>
        <v>20137</v>
      </c>
    </row>
    <row r="53" spans="1:10" ht="18.75">
      <c r="A53" s="49" t="s">
        <v>599</v>
      </c>
      <c r="B53" s="143" t="s">
        <v>882</v>
      </c>
      <c r="C53" s="143"/>
      <c r="D53" s="143">
        <v>186</v>
      </c>
      <c r="E53" s="143"/>
      <c r="F53" s="143"/>
      <c r="G53" s="143"/>
      <c r="H53" s="143"/>
      <c r="I53" s="143"/>
      <c r="J53" s="257">
        <f t="shared" si="1"/>
        <v>186</v>
      </c>
    </row>
    <row r="54" spans="1:10" ht="18.75">
      <c r="A54" s="49" t="s">
        <v>600</v>
      </c>
      <c r="B54" s="143" t="s">
        <v>883</v>
      </c>
      <c r="C54" s="143"/>
      <c r="D54" s="143">
        <v>81</v>
      </c>
      <c r="E54" s="143"/>
      <c r="F54" s="143"/>
      <c r="G54" s="143"/>
      <c r="H54" s="143"/>
      <c r="I54" s="143"/>
      <c r="J54" s="257">
        <f t="shared" si="1"/>
        <v>81</v>
      </c>
    </row>
    <row r="55" spans="1:10" ht="18.75">
      <c r="A55" s="49" t="s">
        <v>601</v>
      </c>
      <c r="B55" s="143" t="s">
        <v>884</v>
      </c>
      <c r="C55" s="143"/>
      <c r="D55" s="143">
        <v>1371</v>
      </c>
      <c r="E55" s="143"/>
      <c r="F55" s="143"/>
      <c r="G55" s="143"/>
      <c r="H55" s="143"/>
      <c r="I55" s="143"/>
      <c r="J55" s="257">
        <f t="shared" si="1"/>
        <v>1371</v>
      </c>
    </row>
    <row r="56" spans="1:10" ht="18.75">
      <c r="A56" s="49" t="s">
        <v>602</v>
      </c>
      <c r="B56" s="143" t="s">
        <v>884</v>
      </c>
      <c r="C56" s="143"/>
      <c r="D56" s="143">
        <v>1779</v>
      </c>
      <c r="E56" s="143"/>
      <c r="F56" s="143"/>
      <c r="G56" s="143"/>
      <c r="H56" s="143"/>
      <c r="I56" s="143"/>
      <c r="J56" s="257">
        <f t="shared" si="1"/>
        <v>1779</v>
      </c>
    </row>
    <row r="57" spans="1:10" ht="18.75">
      <c r="A57" s="49" t="s">
        <v>603</v>
      </c>
      <c r="B57" s="143" t="s">
        <v>885</v>
      </c>
      <c r="C57" s="143"/>
      <c r="D57" s="143">
        <v>7</v>
      </c>
      <c r="E57" s="143"/>
      <c r="F57" s="143"/>
      <c r="G57" s="143"/>
      <c r="H57" s="143"/>
      <c r="I57" s="143"/>
      <c r="J57" s="257">
        <f t="shared" si="1"/>
        <v>7</v>
      </c>
    </row>
    <row r="58" spans="1:10" ht="18.75">
      <c r="A58" s="49" t="s">
        <v>604</v>
      </c>
      <c r="B58" s="143" t="s">
        <v>885</v>
      </c>
      <c r="C58" s="143"/>
      <c r="D58" s="143">
        <v>21</v>
      </c>
      <c r="E58" s="143"/>
      <c r="F58" s="143"/>
      <c r="G58" s="143"/>
      <c r="H58" s="143"/>
      <c r="I58" s="143"/>
      <c r="J58" s="257">
        <f t="shared" si="1"/>
        <v>21</v>
      </c>
    </row>
    <row r="59" spans="1:10" ht="18.75">
      <c r="A59" s="49" t="s">
        <v>605</v>
      </c>
      <c r="B59" s="143" t="s">
        <v>886</v>
      </c>
      <c r="C59" s="143"/>
      <c r="D59" s="143">
        <v>31</v>
      </c>
      <c r="E59" s="143"/>
      <c r="F59" s="143"/>
      <c r="G59" s="143"/>
      <c r="H59" s="143"/>
      <c r="I59" s="143"/>
      <c r="J59" s="257">
        <f t="shared" si="1"/>
        <v>31</v>
      </c>
    </row>
    <row r="60" spans="1:10" ht="18.75">
      <c r="A60" s="49" t="s">
        <v>606</v>
      </c>
      <c r="B60" s="143"/>
      <c r="C60" s="143"/>
      <c r="D60" s="143"/>
      <c r="E60" s="143"/>
      <c r="F60" s="143"/>
      <c r="G60" s="143"/>
      <c r="H60" s="143"/>
      <c r="I60" s="143"/>
      <c r="J60" s="257">
        <f t="shared" si="1"/>
        <v>0</v>
      </c>
    </row>
    <row r="61" spans="1:10" ht="18.75">
      <c r="A61" s="49" t="s">
        <v>607</v>
      </c>
      <c r="B61" s="141"/>
      <c r="C61" s="141"/>
      <c r="D61" s="141"/>
      <c r="E61" s="141"/>
      <c r="F61" s="141"/>
      <c r="G61" s="141"/>
      <c r="H61" s="141"/>
      <c r="I61" s="141"/>
      <c r="J61" s="258">
        <f t="shared" si="1"/>
        <v>0</v>
      </c>
    </row>
    <row r="62" spans="1:10" ht="26.25">
      <c r="A62" s="49" t="s">
        <v>608</v>
      </c>
      <c r="B62" s="79" t="s">
        <v>345</v>
      </c>
      <c r="C62" s="80">
        <f>SUM(C63:C82)</f>
        <v>179</v>
      </c>
      <c r="D62" s="80">
        <f aca="true" t="shared" si="3" ref="D62:I62">SUM(D63:D82)</f>
        <v>3953</v>
      </c>
      <c r="E62" s="80">
        <f t="shared" si="3"/>
        <v>0</v>
      </c>
      <c r="F62" s="80">
        <f t="shared" si="3"/>
        <v>0</v>
      </c>
      <c r="G62" s="80">
        <f t="shared" si="3"/>
        <v>0</v>
      </c>
      <c r="H62" s="80">
        <f t="shared" si="3"/>
        <v>0</v>
      </c>
      <c r="I62" s="80">
        <f t="shared" si="3"/>
        <v>0</v>
      </c>
      <c r="J62" s="80">
        <f aca="true" t="shared" si="4" ref="J62:J82">SUM(C62:I62)</f>
        <v>4132</v>
      </c>
    </row>
    <row r="63" spans="1:10" ht="18.75">
      <c r="A63" s="49" t="s">
        <v>609</v>
      </c>
      <c r="B63" s="424" t="s">
        <v>865</v>
      </c>
      <c r="C63" s="424">
        <v>1</v>
      </c>
      <c r="D63" s="164"/>
      <c r="E63" s="164"/>
      <c r="F63" s="164"/>
      <c r="G63" s="164"/>
      <c r="H63" s="164"/>
      <c r="I63" s="164"/>
      <c r="J63" s="256">
        <f t="shared" si="4"/>
        <v>1</v>
      </c>
    </row>
    <row r="64" spans="1:10" ht="18.75">
      <c r="A64" s="49" t="s">
        <v>610</v>
      </c>
      <c r="B64" s="425" t="s">
        <v>865</v>
      </c>
      <c r="C64" s="425">
        <v>133</v>
      </c>
      <c r="D64" s="143"/>
      <c r="E64" s="143"/>
      <c r="F64" s="143"/>
      <c r="G64" s="143"/>
      <c r="H64" s="143"/>
      <c r="I64" s="143"/>
      <c r="J64" s="257">
        <f t="shared" si="4"/>
        <v>133</v>
      </c>
    </row>
    <row r="65" spans="1:10" ht="18.75">
      <c r="A65" s="49" t="s">
        <v>611</v>
      </c>
      <c r="B65" s="425" t="s">
        <v>866</v>
      </c>
      <c r="C65" s="425">
        <v>45</v>
      </c>
      <c r="D65" s="143"/>
      <c r="E65" s="143"/>
      <c r="F65" s="143"/>
      <c r="G65" s="143"/>
      <c r="H65" s="143"/>
      <c r="I65" s="143"/>
      <c r="J65" s="257">
        <f t="shared" si="4"/>
        <v>45</v>
      </c>
    </row>
    <row r="66" spans="1:10" ht="18.75">
      <c r="A66" s="49" t="s">
        <v>612</v>
      </c>
      <c r="B66" s="143" t="s">
        <v>887</v>
      </c>
      <c r="C66" s="143"/>
      <c r="D66" s="143">
        <v>793</v>
      </c>
      <c r="E66" s="143"/>
      <c r="F66" s="143"/>
      <c r="G66" s="143"/>
      <c r="H66" s="143"/>
      <c r="I66" s="143"/>
      <c r="J66" s="257">
        <f t="shared" si="4"/>
        <v>793</v>
      </c>
    </row>
    <row r="67" spans="1:10" ht="18.75">
      <c r="A67" s="49" t="s">
        <v>613</v>
      </c>
      <c r="B67" s="143" t="s">
        <v>888</v>
      </c>
      <c r="C67" s="143"/>
      <c r="D67" s="143">
        <v>1088</v>
      </c>
      <c r="E67" s="143"/>
      <c r="F67" s="143"/>
      <c r="G67" s="143"/>
      <c r="H67" s="143"/>
      <c r="I67" s="143"/>
      <c r="J67" s="257">
        <f t="shared" si="4"/>
        <v>1088</v>
      </c>
    </row>
    <row r="68" spans="1:10" ht="18.75">
      <c r="A68" s="49" t="s">
        <v>614</v>
      </c>
      <c r="B68" s="143" t="s">
        <v>888</v>
      </c>
      <c r="C68" s="143"/>
      <c r="D68" s="143">
        <v>1811</v>
      </c>
      <c r="E68" s="143"/>
      <c r="F68" s="143"/>
      <c r="G68" s="143"/>
      <c r="H68" s="143"/>
      <c r="I68" s="143"/>
      <c r="J68" s="257">
        <f t="shared" si="4"/>
        <v>1811</v>
      </c>
    </row>
    <row r="69" spans="1:10" ht="18.75">
      <c r="A69" s="49" t="s">
        <v>615</v>
      </c>
      <c r="B69" s="143" t="s">
        <v>889</v>
      </c>
      <c r="C69" s="143"/>
      <c r="D69" s="143">
        <v>261</v>
      </c>
      <c r="E69" s="143"/>
      <c r="F69" s="143"/>
      <c r="G69" s="143"/>
      <c r="H69" s="143"/>
      <c r="I69" s="143"/>
      <c r="J69" s="257">
        <f t="shared" si="4"/>
        <v>261</v>
      </c>
    </row>
    <row r="70" spans="1:10" ht="18.75">
      <c r="A70" s="49" t="s">
        <v>616</v>
      </c>
      <c r="B70" s="143"/>
      <c r="C70" s="143"/>
      <c r="D70" s="143"/>
      <c r="E70" s="143"/>
      <c r="F70" s="143"/>
      <c r="G70" s="143"/>
      <c r="H70" s="143"/>
      <c r="I70" s="143"/>
      <c r="J70" s="257">
        <f t="shared" si="4"/>
        <v>0</v>
      </c>
    </row>
    <row r="71" spans="1:10" ht="18.75">
      <c r="A71" s="49" t="s">
        <v>617</v>
      </c>
      <c r="B71" s="143"/>
      <c r="C71" s="143"/>
      <c r="D71" s="143"/>
      <c r="E71" s="143"/>
      <c r="F71" s="143"/>
      <c r="G71" s="143"/>
      <c r="H71" s="143"/>
      <c r="I71" s="143"/>
      <c r="J71" s="257">
        <f t="shared" si="4"/>
        <v>0</v>
      </c>
    </row>
    <row r="72" spans="1:10" ht="18.75">
      <c r="A72" s="49" t="s">
        <v>618</v>
      </c>
      <c r="B72" s="143"/>
      <c r="C72" s="143"/>
      <c r="D72" s="143"/>
      <c r="E72" s="143"/>
      <c r="F72" s="143"/>
      <c r="G72" s="143"/>
      <c r="H72" s="143"/>
      <c r="I72" s="143"/>
      <c r="J72" s="257">
        <f t="shared" si="4"/>
        <v>0</v>
      </c>
    </row>
    <row r="73" spans="1:10" ht="18.75">
      <c r="A73" s="49" t="s">
        <v>619</v>
      </c>
      <c r="B73" s="143"/>
      <c r="C73" s="143"/>
      <c r="D73" s="143"/>
      <c r="E73" s="143"/>
      <c r="F73" s="143"/>
      <c r="G73" s="143"/>
      <c r="H73" s="143"/>
      <c r="I73" s="143"/>
      <c r="J73" s="257">
        <f t="shared" si="4"/>
        <v>0</v>
      </c>
    </row>
    <row r="74" spans="1:10" ht="18.75">
      <c r="A74" s="49" t="s">
        <v>620</v>
      </c>
      <c r="B74" s="143"/>
      <c r="C74" s="143"/>
      <c r="D74" s="143"/>
      <c r="E74" s="143"/>
      <c r="F74" s="143"/>
      <c r="G74" s="143"/>
      <c r="H74" s="143"/>
      <c r="I74" s="143"/>
      <c r="J74" s="257">
        <f t="shared" si="4"/>
        <v>0</v>
      </c>
    </row>
    <row r="75" spans="1:10" ht="18.75">
      <c r="A75" s="49" t="s">
        <v>621</v>
      </c>
      <c r="B75" s="143"/>
      <c r="C75" s="143"/>
      <c r="D75" s="143"/>
      <c r="E75" s="143"/>
      <c r="F75" s="143"/>
      <c r="G75" s="143"/>
      <c r="H75" s="143"/>
      <c r="I75" s="143"/>
      <c r="J75" s="257">
        <f t="shared" si="4"/>
        <v>0</v>
      </c>
    </row>
    <row r="76" spans="1:10" ht="18.75">
      <c r="A76" s="49" t="s">
        <v>622</v>
      </c>
      <c r="B76" s="143"/>
      <c r="C76" s="143"/>
      <c r="D76" s="143"/>
      <c r="E76" s="143"/>
      <c r="F76" s="143"/>
      <c r="G76" s="143"/>
      <c r="H76" s="143"/>
      <c r="I76" s="143"/>
      <c r="J76" s="257">
        <f t="shared" si="4"/>
        <v>0</v>
      </c>
    </row>
    <row r="77" spans="1:10" ht="18.75">
      <c r="A77" s="49" t="s">
        <v>623</v>
      </c>
      <c r="B77" s="143"/>
      <c r="C77" s="143"/>
      <c r="D77" s="143"/>
      <c r="E77" s="143"/>
      <c r="F77" s="143"/>
      <c r="G77" s="143"/>
      <c r="H77" s="143"/>
      <c r="I77" s="143"/>
      <c r="J77" s="257">
        <f t="shared" si="4"/>
        <v>0</v>
      </c>
    </row>
    <row r="78" spans="1:10" ht="18.75">
      <c r="A78" s="49" t="s">
        <v>624</v>
      </c>
      <c r="B78" s="143"/>
      <c r="C78" s="143"/>
      <c r="D78" s="143"/>
      <c r="E78" s="143"/>
      <c r="F78" s="143"/>
      <c r="G78" s="143"/>
      <c r="H78" s="143"/>
      <c r="I78" s="143"/>
      <c r="J78" s="257">
        <f t="shared" si="4"/>
        <v>0</v>
      </c>
    </row>
    <row r="79" spans="1:10" ht="18.75">
      <c r="A79" s="49" t="s">
        <v>625</v>
      </c>
      <c r="B79" s="143"/>
      <c r="C79" s="143"/>
      <c r="D79" s="143"/>
      <c r="E79" s="143"/>
      <c r="F79" s="143"/>
      <c r="G79" s="143"/>
      <c r="H79" s="143"/>
      <c r="I79" s="143"/>
      <c r="J79" s="257">
        <f t="shared" si="4"/>
        <v>0</v>
      </c>
    </row>
    <row r="80" spans="1:10" ht="18.75">
      <c r="A80" s="49" t="s">
        <v>626</v>
      </c>
      <c r="B80" s="143"/>
      <c r="C80" s="143"/>
      <c r="D80" s="143"/>
      <c r="E80" s="143"/>
      <c r="F80" s="143"/>
      <c r="G80" s="143"/>
      <c r="H80" s="143"/>
      <c r="I80" s="143"/>
      <c r="J80" s="257">
        <f t="shared" si="4"/>
        <v>0</v>
      </c>
    </row>
    <row r="81" spans="1:10" ht="18.75">
      <c r="A81" s="49" t="s">
        <v>627</v>
      </c>
      <c r="B81" s="143"/>
      <c r="C81" s="143"/>
      <c r="D81" s="143"/>
      <c r="E81" s="143"/>
      <c r="F81" s="143"/>
      <c r="G81" s="143"/>
      <c r="H81" s="143"/>
      <c r="I81" s="143"/>
      <c r="J81" s="257">
        <f t="shared" si="4"/>
        <v>0</v>
      </c>
    </row>
    <row r="82" spans="1:10" ht="18.75">
      <c r="A82" s="49" t="s">
        <v>628</v>
      </c>
      <c r="B82" s="162"/>
      <c r="C82" s="162"/>
      <c r="D82" s="162"/>
      <c r="E82" s="162"/>
      <c r="F82" s="162"/>
      <c r="G82" s="162"/>
      <c r="H82" s="162"/>
      <c r="I82" s="162"/>
      <c r="J82" s="259">
        <f t="shared" si="4"/>
        <v>0</v>
      </c>
    </row>
    <row r="83" spans="1:10" ht="26.25">
      <c r="A83" s="49" t="s">
        <v>629</v>
      </c>
      <c r="B83" s="68" t="s">
        <v>630</v>
      </c>
      <c r="C83" s="86" t="str">
        <f>C$19</f>
        <v>970</v>
      </c>
      <c r="D83" s="86" t="str">
        <f aca="true" t="shared" si="5" ref="D83:I83">D$19</f>
        <v>972</v>
      </c>
      <c r="E83" s="86">
        <f t="shared" si="5"/>
      </c>
      <c r="F83" s="86">
        <f t="shared" si="5"/>
      </c>
      <c r="G83" s="86">
        <f t="shared" si="5"/>
      </c>
      <c r="H83" s="86">
        <f t="shared" si="5"/>
      </c>
      <c r="I83" s="86">
        <f t="shared" si="5"/>
      </c>
      <c r="J83" s="68" t="s">
        <v>631</v>
      </c>
    </row>
    <row r="84" spans="1:10" ht="26.25">
      <c r="A84" s="49" t="s">
        <v>632</v>
      </c>
      <c r="B84" s="79" t="s">
        <v>633</v>
      </c>
      <c r="C84" s="80">
        <f>SUM(C85:C104)</f>
        <v>18416</v>
      </c>
      <c r="D84" s="80">
        <f aca="true" t="shared" si="6" ref="D84:I84">SUM(D85:D104)</f>
        <v>37202</v>
      </c>
      <c r="E84" s="80">
        <f t="shared" si="6"/>
        <v>0</v>
      </c>
      <c r="F84" s="80">
        <f t="shared" si="6"/>
        <v>0</v>
      </c>
      <c r="G84" s="80">
        <f t="shared" si="6"/>
        <v>0</v>
      </c>
      <c r="H84" s="80">
        <f t="shared" si="6"/>
        <v>0</v>
      </c>
      <c r="I84" s="80">
        <f t="shared" si="6"/>
        <v>0</v>
      </c>
      <c r="J84" s="80">
        <f aca="true" t="shared" si="7" ref="J84:J105">SUM(C84:I84)</f>
        <v>55618</v>
      </c>
    </row>
    <row r="85" spans="1:10" ht="18.75">
      <c r="A85" s="49" t="s">
        <v>634</v>
      </c>
      <c r="B85" s="424" t="s">
        <v>867</v>
      </c>
      <c r="C85" s="424">
        <v>2686</v>
      </c>
      <c r="D85" s="164"/>
      <c r="E85" s="164"/>
      <c r="F85" s="164"/>
      <c r="G85" s="164"/>
      <c r="H85" s="164"/>
      <c r="I85" s="164"/>
      <c r="J85" s="256">
        <f t="shared" si="7"/>
        <v>2686</v>
      </c>
    </row>
    <row r="86" spans="1:10" ht="18.75">
      <c r="A86" s="49" t="s">
        <v>635</v>
      </c>
      <c r="B86" s="425" t="s">
        <v>868</v>
      </c>
      <c r="C86" s="425">
        <v>1059</v>
      </c>
      <c r="D86" s="143"/>
      <c r="E86" s="143"/>
      <c r="F86" s="143"/>
      <c r="G86" s="143"/>
      <c r="H86" s="143"/>
      <c r="I86" s="143"/>
      <c r="J86" s="257">
        <f t="shared" si="7"/>
        <v>1059</v>
      </c>
    </row>
    <row r="87" spans="1:10" ht="18.75">
      <c r="A87" s="49" t="s">
        <v>636</v>
      </c>
      <c r="B87" s="425" t="s">
        <v>869</v>
      </c>
      <c r="C87" s="425">
        <v>905</v>
      </c>
      <c r="D87" s="143"/>
      <c r="E87" s="143"/>
      <c r="F87" s="143"/>
      <c r="G87" s="143"/>
      <c r="H87" s="143"/>
      <c r="I87" s="143"/>
      <c r="J87" s="257">
        <f t="shared" si="7"/>
        <v>905</v>
      </c>
    </row>
    <row r="88" spans="1:10" ht="37.5">
      <c r="A88" s="49" t="s">
        <v>637</v>
      </c>
      <c r="B88" s="425" t="s">
        <v>870</v>
      </c>
      <c r="C88" s="425">
        <v>111</v>
      </c>
      <c r="D88" s="143"/>
      <c r="E88" s="143"/>
      <c r="F88" s="143"/>
      <c r="G88" s="143"/>
      <c r="H88" s="143"/>
      <c r="I88" s="143"/>
      <c r="J88" s="257">
        <f t="shared" si="7"/>
        <v>111</v>
      </c>
    </row>
    <row r="89" spans="1:10" ht="37.5">
      <c r="A89" s="49" t="s">
        <v>638</v>
      </c>
      <c r="B89" s="425" t="s">
        <v>871</v>
      </c>
      <c r="C89" s="425">
        <v>886</v>
      </c>
      <c r="D89" s="143"/>
      <c r="E89" s="143"/>
      <c r="F89" s="143"/>
      <c r="G89" s="143"/>
      <c r="H89" s="143"/>
      <c r="I89" s="143"/>
      <c r="J89" s="257">
        <f t="shared" si="7"/>
        <v>886</v>
      </c>
    </row>
    <row r="90" spans="1:10" ht="18.75">
      <c r="A90" s="49" t="s">
        <v>639</v>
      </c>
      <c r="B90" s="425" t="s">
        <v>872</v>
      </c>
      <c r="C90" s="425">
        <v>410</v>
      </c>
      <c r="D90" s="143"/>
      <c r="E90" s="143"/>
      <c r="F90" s="143"/>
      <c r="G90" s="143"/>
      <c r="H90" s="143"/>
      <c r="I90" s="143"/>
      <c r="J90" s="257">
        <f t="shared" si="7"/>
        <v>410</v>
      </c>
    </row>
    <row r="91" spans="1:10" ht="18.75">
      <c r="A91" s="49" t="s">
        <v>640</v>
      </c>
      <c r="B91" s="425" t="s">
        <v>873</v>
      </c>
      <c r="C91" s="425">
        <v>971</v>
      </c>
      <c r="D91" s="143"/>
      <c r="E91" s="143"/>
      <c r="F91" s="143"/>
      <c r="G91" s="143"/>
      <c r="H91" s="143"/>
      <c r="I91" s="143"/>
      <c r="J91" s="257">
        <f t="shared" si="7"/>
        <v>971</v>
      </c>
    </row>
    <row r="92" spans="1:10" ht="37.5">
      <c r="A92" s="49" t="s">
        <v>641</v>
      </c>
      <c r="B92" s="425" t="s">
        <v>874</v>
      </c>
      <c r="C92" s="425">
        <v>9478</v>
      </c>
      <c r="D92" s="143"/>
      <c r="E92" s="143"/>
      <c r="F92" s="143"/>
      <c r="G92" s="143"/>
      <c r="H92" s="143"/>
      <c r="I92" s="143"/>
      <c r="J92" s="257">
        <f t="shared" si="7"/>
        <v>9478</v>
      </c>
    </row>
    <row r="93" spans="1:10" ht="18.75">
      <c r="A93" s="49" t="s">
        <v>642</v>
      </c>
      <c r="B93" s="425" t="s">
        <v>875</v>
      </c>
      <c r="C93" s="425">
        <v>632</v>
      </c>
      <c r="D93" s="143"/>
      <c r="E93" s="143"/>
      <c r="F93" s="143"/>
      <c r="G93" s="143"/>
      <c r="H93" s="143"/>
      <c r="I93" s="143"/>
      <c r="J93" s="257">
        <f t="shared" si="7"/>
        <v>632</v>
      </c>
    </row>
    <row r="94" spans="1:10" ht="18.75">
      <c r="A94" s="49" t="s">
        <v>643</v>
      </c>
      <c r="B94" s="425" t="s">
        <v>876</v>
      </c>
      <c r="C94" s="425">
        <v>551</v>
      </c>
      <c r="D94" s="143"/>
      <c r="E94" s="143"/>
      <c r="F94" s="143"/>
      <c r="G94" s="143"/>
      <c r="H94" s="143"/>
      <c r="I94" s="143"/>
      <c r="J94" s="257">
        <f t="shared" si="7"/>
        <v>551</v>
      </c>
    </row>
    <row r="95" spans="1:10" ht="18.75">
      <c r="A95" s="49" t="s">
        <v>644</v>
      </c>
      <c r="B95" s="425" t="s">
        <v>877</v>
      </c>
      <c r="C95" s="425">
        <v>727</v>
      </c>
      <c r="D95" s="143"/>
      <c r="E95" s="143"/>
      <c r="F95" s="143"/>
      <c r="G95" s="143"/>
      <c r="H95" s="143"/>
      <c r="I95" s="143"/>
      <c r="J95" s="257">
        <f t="shared" si="7"/>
        <v>727</v>
      </c>
    </row>
    <row r="96" spans="1:10" ht="18.75">
      <c r="A96" s="49" t="s">
        <v>645</v>
      </c>
      <c r="B96" s="143" t="s">
        <v>890</v>
      </c>
      <c r="C96" s="164"/>
      <c r="D96" s="164">
        <v>16413</v>
      </c>
      <c r="E96" s="143"/>
      <c r="F96" s="143"/>
      <c r="G96" s="143"/>
      <c r="H96" s="143"/>
      <c r="I96" s="143"/>
      <c r="J96" s="257">
        <f t="shared" si="7"/>
        <v>16413</v>
      </c>
    </row>
    <row r="97" spans="1:10" ht="18.75">
      <c r="A97" s="49" t="s">
        <v>646</v>
      </c>
      <c r="B97" s="143" t="s">
        <v>891</v>
      </c>
      <c r="C97" s="164"/>
      <c r="D97" s="164">
        <v>996</v>
      </c>
      <c r="E97" s="143"/>
      <c r="F97" s="143"/>
      <c r="G97" s="143"/>
      <c r="H97" s="143"/>
      <c r="I97" s="143"/>
      <c r="J97" s="257">
        <f t="shared" si="7"/>
        <v>996</v>
      </c>
    </row>
    <row r="98" spans="1:10" ht="18.75">
      <c r="A98" s="49" t="s">
        <v>647</v>
      </c>
      <c r="B98" s="143" t="s">
        <v>892</v>
      </c>
      <c r="C98" s="164"/>
      <c r="D98" s="164">
        <v>9029</v>
      </c>
      <c r="E98" s="143"/>
      <c r="F98" s="143"/>
      <c r="G98" s="143"/>
      <c r="H98" s="143"/>
      <c r="I98" s="143"/>
      <c r="J98" s="257">
        <f t="shared" si="7"/>
        <v>9029</v>
      </c>
    </row>
    <row r="99" spans="1:10" ht="18.75">
      <c r="A99" s="49" t="s">
        <v>648</v>
      </c>
      <c r="B99" s="143" t="s">
        <v>893</v>
      </c>
      <c r="C99" s="164"/>
      <c r="D99" s="164">
        <v>625</v>
      </c>
      <c r="E99" s="143"/>
      <c r="F99" s="143"/>
      <c r="G99" s="143"/>
      <c r="H99" s="143"/>
      <c r="I99" s="143"/>
      <c r="J99" s="257">
        <f t="shared" si="7"/>
        <v>625</v>
      </c>
    </row>
    <row r="100" spans="1:10" ht="18.75">
      <c r="A100" s="49" t="s">
        <v>649</v>
      </c>
      <c r="B100" s="143" t="s">
        <v>894</v>
      </c>
      <c r="C100" s="164"/>
      <c r="D100" s="164">
        <v>1385</v>
      </c>
      <c r="E100" s="143"/>
      <c r="F100" s="143"/>
      <c r="G100" s="143"/>
      <c r="H100" s="143"/>
      <c r="I100" s="143"/>
      <c r="J100" s="257">
        <f t="shared" si="7"/>
        <v>1385</v>
      </c>
    </row>
    <row r="101" spans="1:10" ht="18.75">
      <c r="A101" s="49" t="s">
        <v>650</v>
      </c>
      <c r="B101" s="143" t="s">
        <v>895</v>
      </c>
      <c r="C101" s="164"/>
      <c r="D101" s="164">
        <v>1042</v>
      </c>
      <c r="E101" s="143"/>
      <c r="F101" s="143"/>
      <c r="G101" s="143"/>
      <c r="H101" s="143"/>
      <c r="I101" s="143"/>
      <c r="J101" s="257">
        <f t="shared" si="7"/>
        <v>1042</v>
      </c>
    </row>
    <row r="102" spans="1:10" ht="18.75">
      <c r="A102" s="49" t="s">
        <v>651</v>
      </c>
      <c r="B102" s="143" t="s">
        <v>896</v>
      </c>
      <c r="C102" s="164"/>
      <c r="D102" s="164">
        <v>754</v>
      </c>
      <c r="E102" s="143"/>
      <c r="F102" s="143"/>
      <c r="G102" s="143"/>
      <c r="H102" s="143"/>
      <c r="I102" s="143"/>
      <c r="J102" s="257">
        <f t="shared" si="7"/>
        <v>754</v>
      </c>
    </row>
    <row r="103" spans="1:10" ht="18.75">
      <c r="A103" s="49" t="s">
        <v>652</v>
      </c>
      <c r="B103" s="143" t="s">
        <v>897</v>
      </c>
      <c r="C103" s="164"/>
      <c r="D103" s="164">
        <v>6013</v>
      </c>
      <c r="E103" s="143"/>
      <c r="F103" s="143"/>
      <c r="G103" s="143"/>
      <c r="H103" s="143"/>
      <c r="I103" s="143"/>
      <c r="J103" s="257">
        <f t="shared" si="7"/>
        <v>6013</v>
      </c>
    </row>
    <row r="104" spans="1:10" ht="18.75">
      <c r="A104" s="49" t="s">
        <v>653</v>
      </c>
      <c r="B104" s="143" t="s">
        <v>898</v>
      </c>
      <c r="C104" s="164"/>
      <c r="D104" s="164">
        <v>945</v>
      </c>
      <c r="E104" s="162"/>
      <c r="F104" s="162"/>
      <c r="G104" s="162"/>
      <c r="H104" s="162"/>
      <c r="I104" s="162"/>
      <c r="J104" s="259">
        <f t="shared" si="7"/>
        <v>945</v>
      </c>
    </row>
    <row r="105" spans="1:10" ht="26.25">
      <c r="A105" s="49" t="s">
        <v>654</v>
      </c>
      <c r="B105" s="68" t="s">
        <v>655</v>
      </c>
      <c r="C105" s="74">
        <f>SUM(C20,C41,C62,C84)</f>
        <v>237863</v>
      </c>
      <c r="D105" s="74">
        <f aca="true" t="shared" si="8" ref="D105:I105">SUM(D20,D41,D62,D84)</f>
        <v>102451</v>
      </c>
      <c r="E105" s="74">
        <f t="shared" si="8"/>
        <v>0</v>
      </c>
      <c r="F105" s="74">
        <f t="shared" si="8"/>
        <v>0</v>
      </c>
      <c r="G105" s="74">
        <f t="shared" si="8"/>
        <v>0</v>
      </c>
      <c r="H105" s="74">
        <f t="shared" si="8"/>
        <v>0</v>
      </c>
      <c r="I105" s="74">
        <f t="shared" si="8"/>
        <v>0</v>
      </c>
      <c r="J105" s="75">
        <f t="shared" si="7"/>
        <v>340314</v>
      </c>
    </row>
    <row r="107" ht="15">
      <c r="B107" s="49" t="s">
        <v>656</v>
      </c>
    </row>
  </sheetData>
  <sheetProtection password="A01C" sheet="1"/>
  <printOptions/>
  <pageMargins left="0.3937007874015748" right="0.2755905511811024" top="0.5118110236220472" bottom="0.4724409448818898" header="0.15748031496062992" footer="0.2362204724409449"/>
  <pageSetup fitToHeight="28" fitToWidth="1" horizontalDpi="600" verticalDpi="600" orientation="landscape" paperSize="8" scale="28" r:id="rId1"/>
  <headerFooter>
    <oddHeader>&amp;L&amp;14Piano di cassa dei flussi prospettici&amp;R&amp;14&amp;D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2:C18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3" max="3" width="74.8515625" style="0" customWidth="1"/>
  </cols>
  <sheetData>
    <row r="2" spans="2:3" ht="15.75">
      <c r="B2" s="401" t="s">
        <v>657</v>
      </c>
      <c r="C2" s="414"/>
    </row>
    <row r="3" spans="2:3" ht="15">
      <c r="B3" s="344" t="s">
        <v>658</v>
      </c>
      <c r="C3" s="414"/>
    </row>
    <row r="4" spans="2:3" ht="15">
      <c r="B4" s="344"/>
      <c r="C4" s="414"/>
    </row>
    <row r="6" spans="2:3" ht="15">
      <c r="B6" s="402" t="s">
        <v>659</v>
      </c>
      <c r="C6" s="402" t="s">
        <v>660</v>
      </c>
    </row>
    <row r="7" spans="2:3" ht="28.5" customHeight="1">
      <c r="B7" s="403">
        <v>1</v>
      </c>
      <c r="C7" s="404" t="s">
        <v>661</v>
      </c>
    </row>
    <row r="8" spans="2:3" ht="28.5" customHeight="1">
      <c r="B8" s="403">
        <v>2</v>
      </c>
      <c r="C8" s="404" t="s">
        <v>662</v>
      </c>
    </row>
    <row r="9" spans="2:3" ht="28.5" customHeight="1">
      <c r="B9" s="403">
        <v>3</v>
      </c>
      <c r="C9" s="404" t="s">
        <v>663</v>
      </c>
    </row>
    <row r="10" spans="2:3" ht="28.5" customHeight="1">
      <c r="B10" s="11"/>
      <c r="C10" s="404"/>
    </row>
    <row r="11" spans="2:3" ht="28.5" customHeight="1">
      <c r="B11" s="11"/>
      <c r="C11" s="404"/>
    </row>
    <row r="12" spans="2:3" ht="28.5" customHeight="1">
      <c r="B12" s="11"/>
      <c r="C12" s="404"/>
    </row>
    <row r="13" spans="2:3" ht="28.5" customHeight="1">
      <c r="B13" s="11"/>
      <c r="C13" s="404"/>
    </row>
    <row r="14" spans="2:3" ht="28.5" customHeight="1">
      <c r="B14" s="11"/>
      <c r="C14" s="404"/>
    </row>
    <row r="15" spans="2:3" ht="28.5" customHeight="1">
      <c r="B15" s="11"/>
      <c r="C15" s="404"/>
    </row>
    <row r="16" spans="2:3" ht="28.5" customHeight="1">
      <c r="B16" s="11"/>
      <c r="C16" s="404"/>
    </row>
    <row r="17" spans="2:3" ht="28.5" customHeight="1">
      <c r="B17" s="11"/>
      <c r="C17" s="404"/>
    </row>
    <row r="18" spans="2:3" ht="28.5" customHeight="1">
      <c r="B18" s="11"/>
      <c r="C18" s="404"/>
    </row>
  </sheetData>
  <sheetProtection/>
  <printOptions/>
  <pageMargins left="0.7" right="0.7" top="0.75" bottom="0.75" header="0.3" footer="0.3"/>
  <pageSetup horizontalDpi="600" verticalDpi="600" orientation="portrait" paperSize="9" r:id="rId1"/>
  <colBreaks count="1" manualBreakCount="1">
    <brk id="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E4"/>
    </sheetView>
  </sheetViews>
  <sheetFormatPr defaultColWidth="9.140625" defaultRowHeight="15"/>
  <sheetData>
    <row r="1" spans="1:4" ht="15">
      <c r="A1" s="275" t="s">
        <v>664</v>
      </c>
      <c r="B1" s="275" t="s">
        <v>665</v>
      </c>
      <c r="C1" s="275" t="s">
        <v>666</v>
      </c>
      <c r="D1" s="275" t="s">
        <v>12</v>
      </c>
    </row>
    <row r="2" spans="1:4" ht="15">
      <c r="A2" s="275" t="s">
        <v>667</v>
      </c>
      <c r="B2" s="275" t="s">
        <v>18</v>
      </c>
      <c r="C2" s="275" t="s">
        <v>668</v>
      </c>
      <c r="D2" s="275" t="s">
        <v>669</v>
      </c>
    </row>
    <row r="3" spans="1:4" ht="15">
      <c r="A3" s="275" t="s">
        <v>670</v>
      </c>
      <c r="B3" s="275" t="s">
        <v>18</v>
      </c>
      <c r="C3" s="275" t="s">
        <v>671</v>
      </c>
      <c r="D3" s="275" t="s">
        <v>672</v>
      </c>
    </row>
    <row r="4" spans="1:4" ht="15">
      <c r="A4" s="275"/>
      <c r="B4" s="275"/>
      <c r="C4" s="275"/>
      <c r="D4" s="27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L23" sqref="L23"/>
    </sheetView>
  </sheetViews>
  <sheetFormatPr defaultColWidth="9.140625" defaultRowHeight="15"/>
  <sheetData>
    <row r="1" spans="1:8" ht="15">
      <c r="A1" s="275" t="s">
        <v>673</v>
      </c>
      <c r="B1" s="275" t="s">
        <v>674</v>
      </c>
      <c r="C1" s="275" t="s">
        <v>675</v>
      </c>
      <c r="D1" s="275" t="s">
        <v>664</v>
      </c>
      <c r="E1" s="275" t="s">
        <v>676</v>
      </c>
      <c r="F1" s="275" t="s">
        <v>677</v>
      </c>
      <c r="G1" s="275" t="s">
        <v>678</v>
      </c>
      <c r="H1" s="275" t="s">
        <v>679</v>
      </c>
    </row>
    <row r="2" spans="1:8" ht="15">
      <c r="A2" s="275" t="s">
        <v>680</v>
      </c>
      <c r="B2" s="275" t="s">
        <v>681</v>
      </c>
      <c r="C2" s="275" t="s">
        <v>18</v>
      </c>
      <c r="D2" s="275" t="s">
        <v>246</v>
      </c>
      <c r="E2" s="275">
        <v>41293.317324</v>
      </c>
      <c r="F2" s="275">
        <v>41293.317324</v>
      </c>
      <c r="G2" s="275">
        <v>0</v>
      </c>
      <c r="H2" s="414"/>
    </row>
    <row r="3" spans="1:8" ht="15">
      <c r="A3" s="275" t="s">
        <v>682</v>
      </c>
      <c r="B3" s="275" t="s">
        <v>681</v>
      </c>
      <c r="C3" s="275" t="s">
        <v>18</v>
      </c>
      <c r="D3" s="275" t="s">
        <v>269</v>
      </c>
      <c r="E3" s="275">
        <v>2674</v>
      </c>
      <c r="F3" s="275">
        <v>2674</v>
      </c>
      <c r="G3" s="275">
        <v>0</v>
      </c>
      <c r="H3" s="414"/>
    </row>
    <row r="4" spans="1:8" ht="15">
      <c r="A4" s="275" t="s">
        <v>683</v>
      </c>
      <c r="B4" s="275" t="s">
        <v>681</v>
      </c>
      <c r="C4" s="275" t="s">
        <v>18</v>
      </c>
      <c r="D4" s="275" t="s">
        <v>271</v>
      </c>
      <c r="E4" s="275">
        <v>0</v>
      </c>
      <c r="F4" s="275">
        <v>0</v>
      </c>
      <c r="G4" s="275">
        <v>0</v>
      </c>
      <c r="H4" s="414"/>
    </row>
    <row r="5" spans="1:8" ht="15">
      <c r="A5" s="275" t="s">
        <v>684</v>
      </c>
      <c r="B5" s="275" t="s">
        <v>681</v>
      </c>
      <c r="C5" s="275" t="s">
        <v>18</v>
      </c>
      <c r="D5" s="275" t="s">
        <v>273</v>
      </c>
      <c r="E5" s="275">
        <v>0</v>
      </c>
      <c r="F5" s="275">
        <v>0</v>
      </c>
      <c r="G5" s="275">
        <v>0</v>
      </c>
      <c r="H5" s="414"/>
    </row>
    <row r="6" spans="1:8" ht="15">
      <c r="A6" s="275" t="s">
        <v>685</v>
      </c>
      <c r="B6" s="275" t="s">
        <v>681</v>
      </c>
      <c r="C6" s="275" t="s">
        <v>18</v>
      </c>
      <c r="D6" s="275" t="s">
        <v>275</v>
      </c>
      <c r="E6" s="275">
        <v>0</v>
      </c>
      <c r="F6" s="275">
        <v>0</v>
      </c>
      <c r="G6" s="275">
        <v>0</v>
      </c>
      <c r="H6" s="414"/>
    </row>
    <row r="7" spans="1:8" ht="15">
      <c r="A7" s="275" t="s">
        <v>686</v>
      </c>
      <c r="B7" s="275" t="s">
        <v>681</v>
      </c>
      <c r="C7" s="275" t="s">
        <v>18</v>
      </c>
      <c r="D7" s="275" t="s">
        <v>277</v>
      </c>
      <c r="E7" s="275">
        <v>3915.9875953</v>
      </c>
      <c r="F7" s="275">
        <v>3915.9875953</v>
      </c>
      <c r="G7" s="275">
        <v>0</v>
      </c>
      <c r="H7" s="414"/>
    </row>
    <row r="8" spans="1:8" ht="15">
      <c r="A8" s="275" t="s">
        <v>687</v>
      </c>
      <c r="B8" s="275" t="s">
        <v>681</v>
      </c>
      <c r="C8" s="275" t="s">
        <v>18</v>
      </c>
      <c r="D8" s="275" t="s">
        <v>279</v>
      </c>
      <c r="E8" s="275">
        <v>0</v>
      </c>
      <c r="F8" s="275">
        <v>0</v>
      </c>
      <c r="G8" s="275">
        <v>0</v>
      </c>
      <c r="H8" s="414"/>
    </row>
    <row r="9" spans="1:8" ht="15">
      <c r="A9" s="275" t="s">
        <v>688</v>
      </c>
      <c r="B9" s="275" t="s">
        <v>681</v>
      </c>
      <c r="C9" s="275" t="s">
        <v>18</v>
      </c>
      <c r="D9" s="275" t="s">
        <v>281</v>
      </c>
      <c r="E9" s="275">
        <v>0</v>
      </c>
      <c r="F9" s="275">
        <v>0</v>
      </c>
      <c r="G9" s="275">
        <v>0</v>
      </c>
      <c r="H9" s="414"/>
    </row>
    <row r="10" spans="1:8" ht="15">
      <c r="A10" s="275" t="s">
        <v>689</v>
      </c>
      <c r="B10" s="275" t="s">
        <v>681</v>
      </c>
      <c r="C10" s="275" t="s">
        <v>18</v>
      </c>
      <c r="D10" s="275" t="s">
        <v>284</v>
      </c>
      <c r="E10" s="275">
        <v>100886.86</v>
      </c>
      <c r="F10" s="275">
        <v>100886.86</v>
      </c>
      <c r="G10" s="275">
        <v>0</v>
      </c>
      <c r="H10" s="414"/>
    </row>
    <row r="11" spans="1:8" ht="15">
      <c r="A11" s="275" t="s">
        <v>690</v>
      </c>
      <c r="B11" s="275" t="s">
        <v>681</v>
      </c>
      <c r="C11" s="275" t="s">
        <v>18</v>
      </c>
      <c r="D11" s="275" t="s">
        <v>285</v>
      </c>
      <c r="E11" s="275">
        <v>0</v>
      </c>
      <c r="F11" s="275">
        <v>0</v>
      </c>
      <c r="G11" s="275">
        <v>0</v>
      </c>
      <c r="H11" s="414"/>
    </row>
    <row r="12" spans="1:8" ht="15">
      <c r="A12" s="275" t="s">
        <v>691</v>
      </c>
      <c r="B12" s="275" t="s">
        <v>681</v>
      </c>
      <c r="C12" s="275" t="s">
        <v>18</v>
      </c>
      <c r="D12" s="275" t="s">
        <v>289</v>
      </c>
      <c r="E12" s="275">
        <v>0</v>
      </c>
      <c r="F12" s="275">
        <v>0</v>
      </c>
      <c r="G12" s="275">
        <v>0</v>
      </c>
      <c r="H12" s="414"/>
    </row>
    <row r="13" spans="1:8" ht="15">
      <c r="A13" s="275" t="s">
        <v>692</v>
      </c>
      <c r="B13" s="275" t="s">
        <v>681</v>
      </c>
      <c r="C13" s="275" t="s">
        <v>18</v>
      </c>
      <c r="D13" s="275" t="s">
        <v>291</v>
      </c>
      <c r="E13" s="275">
        <v>0</v>
      </c>
      <c r="F13" s="275">
        <v>0</v>
      </c>
      <c r="G13" s="275">
        <v>0</v>
      </c>
      <c r="H13" s="414"/>
    </row>
    <row r="14" spans="1:8" ht="15">
      <c r="A14" s="275" t="s">
        <v>693</v>
      </c>
      <c r="B14" s="275" t="s">
        <v>681</v>
      </c>
      <c r="C14" s="275" t="s">
        <v>18</v>
      </c>
      <c r="D14" s="275" t="s">
        <v>293</v>
      </c>
      <c r="E14" s="275">
        <v>0</v>
      </c>
      <c r="F14" s="275">
        <v>0</v>
      </c>
      <c r="G14" s="275">
        <v>0</v>
      </c>
      <c r="H14" s="414"/>
    </row>
    <row r="15" spans="1:8" ht="15">
      <c r="A15" s="275" t="s">
        <v>694</v>
      </c>
      <c r="B15" s="275" t="s">
        <v>681</v>
      </c>
      <c r="C15" s="275" t="s">
        <v>18</v>
      </c>
      <c r="D15" s="275" t="s">
        <v>250</v>
      </c>
      <c r="E15" s="275">
        <v>26486.222353</v>
      </c>
      <c r="F15" s="275">
        <v>26486.222353</v>
      </c>
      <c r="G15" s="275">
        <v>0</v>
      </c>
      <c r="H15" s="414"/>
    </row>
    <row r="16" spans="1:8" ht="15">
      <c r="A16" s="275" t="s">
        <v>695</v>
      </c>
      <c r="B16" s="275" t="s">
        <v>681</v>
      </c>
      <c r="C16" s="275" t="s">
        <v>18</v>
      </c>
      <c r="D16" s="275" t="s">
        <v>294</v>
      </c>
      <c r="E16" s="275">
        <v>0</v>
      </c>
      <c r="F16" s="275">
        <v>0</v>
      </c>
      <c r="G16" s="275">
        <v>0</v>
      </c>
      <c r="H16" s="414"/>
    </row>
    <row r="17" spans="1:7" ht="15">
      <c r="A17" s="275" t="s">
        <v>696</v>
      </c>
      <c r="B17" s="275" t="s">
        <v>681</v>
      </c>
      <c r="C17" s="275" t="s">
        <v>18</v>
      </c>
      <c r="D17" s="275" t="s">
        <v>298</v>
      </c>
      <c r="E17" s="275">
        <v>0</v>
      </c>
      <c r="F17" s="275">
        <v>0</v>
      </c>
      <c r="G17" s="275">
        <v>0</v>
      </c>
    </row>
    <row r="18" spans="1:7" ht="15">
      <c r="A18" s="275" t="s">
        <v>697</v>
      </c>
      <c r="B18" s="275" t="s">
        <v>681</v>
      </c>
      <c r="C18" s="275" t="s">
        <v>18</v>
      </c>
      <c r="D18" s="275" t="s">
        <v>301</v>
      </c>
      <c r="E18" s="275">
        <v>0</v>
      </c>
      <c r="F18" s="275">
        <v>0</v>
      </c>
      <c r="G18" s="275">
        <v>0</v>
      </c>
    </row>
    <row r="19" spans="1:7" ht="15">
      <c r="A19" s="275" t="s">
        <v>698</v>
      </c>
      <c r="B19" s="275" t="s">
        <v>681</v>
      </c>
      <c r="C19" s="275" t="s">
        <v>18</v>
      </c>
      <c r="D19" s="275" t="s">
        <v>254</v>
      </c>
      <c r="E19" s="275">
        <v>33107.320323</v>
      </c>
      <c r="F19" s="275">
        <v>33107.320323</v>
      </c>
      <c r="G19" s="275">
        <v>0</v>
      </c>
    </row>
    <row r="20" spans="1:7" ht="15">
      <c r="A20" s="275" t="s">
        <v>699</v>
      </c>
      <c r="B20" s="275" t="s">
        <v>681</v>
      </c>
      <c r="C20" s="275" t="s">
        <v>18</v>
      </c>
      <c r="D20" s="275" t="s">
        <v>255</v>
      </c>
      <c r="E20" s="275">
        <v>8540</v>
      </c>
      <c r="F20" s="275">
        <v>8540</v>
      </c>
      <c r="G20" s="275">
        <v>0</v>
      </c>
    </row>
    <row r="21" spans="1:7" ht="15">
      <c r="A21" s="275" t="s">
        <v>700</v>
      </c>
      <c r="B21" s="275" t="s">
        <v>681</v>
      </c>
      <c r="C21" s="275" t="s">
        <v>18</v>
      </c>
      <c r="D21" s="275" t="s">
        <v>259</v>
      </c>
      <c r="E21" s="275">
        <v>1914.78</v>
      </c>
      <c r="F21" s="275">
        <v>1914.78</v>
      </c>
      <c r="G21" s="275">
        <v>0</v>
      </c>
    </row>
    <row r="22" spans="1:7" ht="15">
      <c r="A22" s="275" t="s">
        <v>701</v>
      </c>
      <c r="B22" s="275" t="s">
        <v>681</v>
      </c>
      <c r="C22" s="275" t="s">
        <v>18</v>
      </c>
      <c r="D22" s="275" t="s">
        <v>261</v>
      </c>
      <c r="E22" s="275">
        <v>11878.522893</v>
      </c>
      <c r="F22" s="275">
        <v>11878.522893</v>
      </c>
      <c r="G22" s="275">
        <v>0</v>
      </c>
    </row>
    <row r="23" spans="1:7" ht="15">
      <c r="A23" s="275" t="s">
        <v>702</v>
      </c>
      <c r="B23" s="275" t="s">
        <v>681</v>
      </c>
      <c r="C23" s="275" t="s">
        <v>18</v>
      </c>
      <c r="D23" s="275" t="s">
        <v>263</v>
      </c>
      <c r="E23" s="275">
        <v>394.21147577</v>
      </c>
      <c r="F23" s="275">
        <v>394.21147577</v>
      </c>
      <c r="G23" s="275">
        <v>0</v>
      </c>
    </row>
    <row r="24" spans="1:7" ht="15">
      <c r="A24" s="275" t="s">
        <v>703</v>
      </c>
      <c r="B24" s="275" t="s">
        <v>681</v>
      </c>
      <c r="C24" s="275" t="s">
        <v>18</v>
      </c>
      <c r="D24" s="275" t="s">
        <v>265</v>
      </c>
      <c r="E24" s="275">
        <v>3789.8183588</v>
      </c>
      <c r="F24" s="275">
        <v>3789.8183588</v>
      </c>
      <c r="G24" s="275">
        <v>0</v>
      </c>
    </row>
    <row r="25" spans="1:7" ht="15">
      <c r="A25" s="275" t="s">
        <v>704</v>
      </c>
      <c r="B25" s="275" t="s">
        <v>681</v>
      </c>
      <c r="C25" s="275" t="s">
        <v>18</v>
      </c>
      <c r="D25" s="275" t="s">
        <v>267</v>
      </c>
      <c r="E25" s="275">
        <v>0</v>
      </c>
      <c r="F25" s="275">
        <v>0</v>
      </c>
      <c r="G25" s="275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C10" sqref="C10"/>
    </sheetView>
  </sheetViews>
  <sheetFormatPr defaultColWidth="9.140625" defaultRowHeight="15"/>
  <sheetData>
    <row r="1" spans="1:9" ht="15">
      <c r="A1" s="253" t="s">
        <v>673</v>
      </c>
      <c r="B1" s="253" t="s">
        <v>675</v>
      </c>
      <c r="C1" s="253" t="s">
        <v>664</v>
      </c>
      <c r="D1" s="253" t="s">
        <v>676</v>
      </c>
      <c r="E1" s="253" t="s">
        <v>677</v>
      </c>
      <c r="F1" s="253" t="s">
        <v>678</v>
      </c>
      <c r="G1" s="253" t="s">
        <v>679</v>
      </c>
      <c r="H1" s="253" t="s">
        <v>705</v>
      </c>
      <c r="I1" s="253" t="s">
        <v>706</v>
      </c>
    </row>
    <row r="2" spans="1:9" ht="15">
      <c r="A2" s="253" t="s">
        <v>707</v>
      </c>
      <c r="B2" s="253" t="s">
        <v>18</v>
      </c>
      <c r="C2" s="253" t="s">
        <v>708</v>
      </c>
      <c r="D2" s="253">
        <v>100886.86000000007</v>
      </c>
      <c r="E2" s="253">
        <v>0</v>
      </c>
      <c r="F2" s="253">
        <v>100886.86000000007</v>
      </c>
      <c r="G2" s="253">
        <v>0</v>
      </c>
      <c r="H2" s="253">
        <v>100886.86000000007</v>
      </c>
      <c r="I2" s="253">
        <v>0</v>
      </c>
    </row>
    <row r="3" spans="1:9" ht="15">
      <c r="A3" s="253" t="s">
        <v>709</v>
      </c>
      <c r="B3" s="253" t="s">
        <v>18</v>
      </c>
      <c r="C3" s="253" t="s">
        <v>710</v>
      </c>
      <c r="D3" s="253">
        <v>41293.31732379686</v>
      </c>
      <c r="E3" s="253">
        <v>0</v>
      </c>
      <c r="F3" s="253">
        <v>41293.31732379686</v>
      </c>
      <c r="G3" s="253">
        <v>0</v>
      </c>
      <c r="H3" s="253">
        <v>41293.31732379686</v>
      </c>
      <c r="I3" s="253">
        <v>0</v>
      </c>
    </row>
    <row r="4" spans="1:9" ht="15">
      <c r="A4" s="253" t="s">
        <v>711</v>
      </c>
      <c r="B4" s="253" t="s">
        <v>18</v>
      </c>
      <c r="C4" s="253" t="s">
        <v>712</v>
      </c>
      <c r="D4" s="253">
        <v>26486.222353131903</v>
      </c>
      <c r="E4" s="253">
        <v>0</v>
      </c>
      <c r="F4" s="253">
        <v>26486.222353131903</v>
      </c>
      <c r="G4" s="253">
        <v>0</v>
      </c>
      <c r="H4" s="253">
        <v>26486.222353131903</v>
      </c>
      <c r="I4" s="253">
        <v>0</v>
      </c>
    </row>
    <row r="5" spans="1:9" ht="15">
      <c r="A5" s="253" t="s">
        <v>713</v>
      </c>
      <c r="B5" s="253" t="s">
        <v>18</v>
      </c>
      <c r="C5" s="253" t="s">
        <v>714</v>
      </c>
      <c r="D5" s="253">
        <v>33107.32032307131</v>
      </c>
      <c r="E5" s="253">
        <v>0</v>
      </c>
      <c r="F5" s="253">
        <v>33107.32032307131</v>
      </c>
      <c r="G5" s="253">
        <v>0</v>
      </c>
      <c r="H5" s="253">
        <v>33107.32032307131</v>
      </c>
      <c r="I5" s="253">
        <v>0</v>
      </c>
    </row>
    <row r="6" spans="1:9" ht="15">
      <c r="A6" s="253" t="s">
        <v>715</v>
      </c>
      <c r="B6" s="253" t="s">
        <v>18</v>
      </c>
      <c r="C6" s="253" t="s">
        <v>716</v>
      </c>
      <c r="D6" s="253">
        <v>0</v>
      </c>
      <c r="E6" s="253">
        <v>0</v>
      </c>
      <c r="F6" s="253">
        <v>0</v>
      </c>
      <c r="G6" s="253">
        <v>0</v>
      </c>
      <c r="H6" s="253">
        <v>0</v>
      </c>
      <c r="I6" s="253">
        <v>0</v>
      </c>
    </row>
    <row r="7" spans="1:9" ht="15">
      <c r="A7" s="253" t="s">
        <v>717</v>
      </c>
      <c r="B7" s="253" t="s">
        <v>18</v>
      </c>
      <c r="C7" s="253" t="s">
        <v>718</v>
      </c>
      <c r="D7" s="253">
        <v>0</v>
      </c>
      <c r="E7" s="253">
        <v>0</v>
      </c>
      <c r="F7" s="253">
        <v>0</v>
      </c>
      <c r="G7" s="253">
        <v>0</v>
      </c>
      <c r="H7" s="253">
        <v>0</v>
      </c>
      <c r="I7" s="253">
        <v>0</v>
      </c>
    </row>
    <row r="8" spans="1:9" ht="15">
      <c r="A8" s="253" t="s">
        <v>719</v>
      </c>
      <c r="B8" s="253" t="s">
        <v>18</v>
      </c>
      <c r="C8" s="253" t="s">
        <v>720</v>
      </c>
      <c r="D8" s="253">
        <v>0</v>
      </c>
      <c r="E8" s="253">
        <v>0</v>
      </c>
      <c r="F8" s="253">
        <v>0</v>
      </c>
      <c r="G8" s="253">
        <v>0</v>
      </c>
      <c r="H8" s="253">
        <v>0</v>
      </c>
      <c r="I8" s="253">
        <v>0</v>
      </c>
    </row>
    <row r="9" spans="1:9" ht="15">
      <c r="A9" s="253" t="s">
        <v>721</v>
      </c>
      <c r="B9" s="253" t="s">
        <v>18</v>
      </c>
      <c r="C9" s="253" t="s">
        <v>722</v>
      </c>
      <c r="D9" s="253">
        <v>0</v>
      </c>
      <c r="E9" s="253">
        <v>0</v>
      </c>
      <c r="F9" s="253">
        <v>0</v>
      </c>
      <c r="G9" s="253">
        <v>1313</v>
      </c>
      <c r="H9" s="253">
        <v>1313</v>
      </c>
      <c r="I9" s="253">
        <v>0</v>
      </c>
    </row>
    <row r="10" spans="1:9" ht="15">
      <c r="A10" s="253" t="s">
        <v>723</v>
      </c>
      <c r="B10" s="253" t="s">
        <v>18</v>
      </c>
      <c r="C10" s="253" t="s">
        <v>724</v>
      </c>
      <c r="D10" s="253">
        <v>9756</v>
      </c>
      <c r="E10" s="253">
        <v>0</v>
      </c>
      <c r="F10" s="253">
        <v>9756</v>
      </c>
      <c r="G10" s="253">
        <v>0</v>
      </c>
      <c r="H10" s="253">
        <v>9756</v>
      </c>
      <c r="I10" s="253">
        <v>0</v>
      </c>
    </row>
    <row r="11" spans="1:9" ht="15">
      <c r="A11" s="253" t="s">
        <v>725</v>
      </c>
      <c r="B11" s="253" t="s">
        <v>18</v>
      </c>
      <c r="C11" s="253" t="s">
        <v>726</v>
      </c>
      <c r="D11" s="253">
        <v>0</v>
      </c>
      <c r="E11" s="253">
        <v>0</v>
      </c>
      <c r="F11" s="253">
        <v>0</v>
      </c>
      <c r="G11" s="253">
        <v>0</v>
      </c>
      <c r="H11" s="253">
        <v>0</v>
      </c>
      <c r="I11" s="253">
        <v>0</v>
      </c>
    </row>
    <row r="12" spans="1:9" ht="15">
      <c r="A12" s="253" t="s">
        <v>727</v>
      </c>
      <c r="B12" s="253" t="s">
        <v>18</v>
      </c>
      <c r="C12" s="253" t="s">
        <v>728</v>
      </c>
      <c r="D12" s="253">
        <v>0</v>
      </c>
      <c r="E12" s="253">
        <v>0</v>
      </c>
      <c r="F12" s="253">
        <v>0</v>
      </c>
      <c r="G12" s="253">
        <v>0</v>
      </c>
      <c r="H12" s="253">
        <v>0</v>
      </c>
      <c r="I12" s="253">
        <v>0</v>
      </c>
    </row>
    <row r="13" spans="1:9" ht="15">
      <c r="A13" s="253" t="s">
        <v>729</v>
      </c>
      <c r="B13" s="253" t="s">
        <v>18</v>
      </c>
      <c r="C13" s="253" t="s">
        <v>730</v>
      </c>
      <c r="D13" s="253">
        <v>146048.00000000003</v>
      </c>
      <c r="E13" s="253">
        <v>0</v>
      </c>
      <c r="F13" s="253">
        <v>146048.00000000003</v>
      </c>
      <c r="G13" s="253">
        <v>0</v>
      </c>
      <c r="H13" s="253">
        <v>146048.00000000003</v>
      </c>
      <c r="I13" s="253">
        <v>0</v>
      </c>
    </row>
    <row r="14" spans="1:9" ht="15">
      <c r="A14" s="253" t="s">
        <v>731</v>
      </c>
      <c r="B14" s="253" t="s">
        <v>18</v>
      </c>
      <c r="C14" s="253" t="s">
        <v>732</v>
      </c>
      <c r="D14" s="253">
        <v>125862.20000000001</v>
      </c>
      <c r="E14" s="253">
        <v>0</v>
      </c>
      <c r="F14" s="253">
        <v>125862.20000000001</v>
      </c>
      <c r="G14" s="253">
        <v>0</v>
      </c>
      <c r="H14" s="253">
        <v>125862.20000000001</v>
      </c>
      <c r="I14" s="253">
        <v>0</v>
      </c>
    </row>
    <row r="15" spans="1:9" ht="15">
      <c r="A15" s="253" t="s">
        <v>733</v>
      </c>
      <c r="B15" s="253" t="s">
        <v>18</v>
      </c>
      <c r="C15" s="253" t="s">
        <v>734</v>
      </c>
      <c r="D15" s="253">
        <v>13395.2</v>
      </c>
      <c r="E15" s="253">
        <v>0</v>
      </c>
      <c r="F15" s="253">
        <v>13395.2</v>
      </c>
      <c r="G15" s="253">
        <v>0</v>
      </c>
      <c r="H15" s="253">
        <v>13395.2</v>
      </c>
      <c r="I15" s="253">
        <v>0</v>
      </c>
    </row>
    <row r="16" spans="1:9" ht="15">
      <c r="A16" s="253" t="s">
        <v>735</v>
      </c>
      <c r="B16" s="253" t="s">
        <v>18</v>
      </c>
      <c r="C16" s="253" t="s">
        <v>736</v>
      </c>
      <c r="D16" s="253">
        <v>5762.9</v>
      </c>
      <c r="E16" s="253">
        <v>0</v>
      </c>
      <c r="F16" s="253">
        <v>5762.9</v>
      </c>
      <c r="G16" s="253">
        <v>0</v>
      </c>
      <c r="H16" s="253">
        <v>5762.9</v>
      </c>
      <c r="I16" s="253">
        <v>0</v>
      </c>
    </row>
    <row r="17" spans="1:9" ht="15">
      <c r="A17" s="253" t="s">
        <v>737</v>
      </c>
      <c r="B17" s="253" t="s">
        <v>18</v>
      </c>
      <c r="C17" s="253" t="s">
        <v>738</v>
      </c>
      <c r="D17" s="253">
        <v>261.6</v>
      </c>
      <c r="E17" s="253">
        <v>0</v>
      </c>
      <c r="F17" s="253">
        <v>261.6</v>
      </c>
      <c r="G17" s="253">
        <v>0</v>
      </c>
      <c r="H17" s="253">
        <v>261.6</v>
      </c>
      <c r="I17" s="253">
        <v>0</v>
      </c>
    </row>
    <row r="18" spans="1:9" ht="15">
      <c r="A18" s="253" t="s">
        <v>739</v>
      </c>
      <c r="B18" s="253" t="s">
        <v>18</v>
      </c>
      <c r="C18" s="253" t="s">
        <v>740</v>
      </c>
      <c r="D18" s="253">
        <v>766.1</v>
      </c>
      <c r="E18" s="253">
        <v>0</v>
      </c>
      <c r="F18" s="253">
        <v>766.1</v>
      </c>
      <c r="G18" s="253">
        <v>0</v>
      </c>
      <c r="H18" s="253">
        <v>766.1</v>
      </c>
      <c r="I18" s="253">
        <v>0</v>
      </c>
    </row>
    <row r="19" spans="1:9" ht="15">
      <c r="A19" s="253" t="s">
        <v>741</v>
      </c>
      <c r="B19" s="253" t="s">
        <v>18</v>
      </c>
      <c r="C19" s="253" t="s">
        <v>742</v>
      </c>
      <c r="D19" s="253">
        <v>50749.49999999999</v>
      </c>
      <c r="E19" s="253">
        <v>0</v>
      </c>
      <c r="F19" s="253">
        <v>50749.49999999999</v>
      </c>
      <c r="G19" s="253">
        <v>0</v>
      </c>
      <c r="H19" s="253">
        <v>50749.49999999999</v>
      </c>
      <c r="I19" s="253">
        <v>0</v>
      </c>
    </row>
    <row r="20" spans="1:9" ht="15">
      <c r="A20" s="253" t="s">
        <v>743</v>
      </c>
      <c r="B20" s="253" t="s">
        <v>18</v>
      </c>
      <c r="C20" s="253" t="s">
        <v>744</v>
      </c>
      <c r="D20" s="253">
        <v>49184.799999999996</v>
      </c>
      <c r="E20" s="253">
        <v>0</v>
      </c>
      <c r="F20" s="253">
        <v>49184.799999999996</v>
      </c>
      <c r="G20" s="253">
        <v>0</v>
      </c>
      <c r="H20" s="253">
        <v>49184.799999999996</v>
      </c>
      <c r="I20" s="253">
        <v>0</v>
      </c>
    </row>
    <row r="21" spans="1:9" ht="15">
      <c r="A21" s="253" t="s">
        <v>745</v>
      </c>
      <c r="B21" s="253" t="s">
        <v>18</v>
      </c>
      <c r="C21" s="253" t="s">
        <v>746</v>
      </c>
      <c r="D21" s="253">
        <v>0</v>
      </c>
      <c r="E21" s="253">
        <v>0</v>
      </c>
      <c r="F21" s="253">
        <v>0</v>
      </c>
      <c r="G21" s="253">
        <v>0</v>
      </c>
      <c r="H21" s="253">
        <v>0</v>
      </c>
      <c r="I21" s="253">
        <v>0</v>
      </c>
    </row>
    <row r="22" spans="1:9" ht="15">
      <c r="A22" s="253" t="s">
        <v>747</v>
      </c>
      <c r="B22" s="253" t="s">
        <v>18</v>
      </c>
      <c r="C22" s="253" t="s">
        <v>748</v>
      </c>
      <c r="D22" s="253">
        <v>1266</v>
      </c>
      <c r="E22" s="253">
        <v>0</v>
      </c>
      <c r="F22" s="253">
        <v>1266</v>
      </c>
      <c r="G22" s="253">
        <v>0</v>
      </c>
      <c r="H22" s="253">
        <v>1266</v>
      </c>
      <c r="I22" s="253">
        <v>0</v>
      </c>
    </row>
    <row r="23" spans="1:9" ht="15">
      <c r="A23" s="253" t="s">
        <v>749</v>
      </c>
      <c r="B23" s="253" t="s">
        <v>18</v>
      </c>
      <c r="C23" s="253" t="s">
        <v>750</v>
      </c>
      <c r="D23" s="253">
        <v>14.2</v>
      </c>
      <c r="E23" s="253">
        <v>0</v>
      </c>
      <c r="F23" s="253">
        <v>14.2</v>
      </c>
      <c r="G23" s="253">
        <v>0</v>
      </c>
      <c r="H23" s="253">
        <v>14.2</v>
      </c>
      <c r="I23" s="253">
        <v>0</v>
      </c>
    </row>
    <row r="24" spans="1:9" ht="15">
      <c r="A24" s="253" t="s">
        <v>751</v>
      </c>
      <c r="B24" s="253" t="s">
        <v>18</v>
      </c>
      <c r="C24" s="253" t="s">
        <v>752</v>
      </c>
      <c r="D24" s="253">
        <v>284.5</v>
      </c>
      <c r="E24" s="253">
        <v>0</v>
      </c>
      <c r="F24" s="253">
        <v>284.5</v>
      </c>
      <c r="G24" s="253">
        <v>0</v>
      </c>
      <c r="H24" s="253">
        <v>284.5</v>
      </c>
      <c r="I24" s="253">
        <v>0</v>
      </c>
    </row>
    <row r="25" spans="1:9" ht="15">
      <c r="A25" s="253" t="s">
        <v>753</v>
      </c>
      <c r="B25" s="253" t="s">
        <v>18</v>
      </c>
      <c r="C25" s="253" t="s">
        <v>754</v>
      </c>
      <c r="D25" s="253">
        <v>3045.1000000000004</v>
      </c>
      <c r="E25" s="253">
        <v>0</v>
      </c>
      <c r="F25" s="253">
        <v>3045.1000000000004</v>
      </c>
      <c r="G25" s="253">
        <v>0</v>
      </c>
      <c r="H25" s="253">
        <v>3045.1000000000004</v>
      </c>
      <c r="I25" s="253">
        <v>0</v>
      </c>
    </row>
    <row r="26" spans="1:9" ht="15">
      <c r="A26" s="253" t="s">
        <v>755</v>
      </c>
      <c r="B26" s="253" t="s">
        <v>18</v>
      </c>
      <c r="C26" s="253" t="s">
        <v>756</v>
      </c>
      <c r="D26" s="253">
        <v>9516</v>
      </c>
      <c r="E26" s="253">
        <v>0</v>
      </c>
      <c r="F26" s="253">
        <v>9516</v>
      </c>
      <c r="G26" s="253">
        <v>0</v>
      </c>
      <c r="H26" s="253">
        <v>9516</v>
      </c>
      <c r="I26" s="253">
        <v>0</v>
      </c>
    </row>
    <row r="27" spans="1:9" ht="15">
      <c r="A27" s="253" t="s">
        <v>757</v>
      </c>
      <c r="B27" s="253" t="s">
        <v>18</v>
      </c>
      <c r="C27" s="253" t="s">
        <v>758</v>
      </c>
      <c r="D27" s="253">
        <v>41273.399999999994</v>
      </c>
      <c r="E27" s="253">
        <v>0</v>
      </c>
      <c r="F27" s="253">
        <v>41273.399999999994</v>
      </c>
      <c r="G27" s="253">
        <v>0</v>
      </c>
      <c r="H27" s="253">
        <v>41273.399999999994</v>
      </c>
      <c r="I27" s="253">
        <v>0</v>
      </c>
    </row>
    <row r="28" spans="1:9" ht="15">
      <c r="A28" s="253" t="s">
        <v>759</v>
      </c>
      <c r="B28" s="253" t="s">
        <v>18</v>
      </c>
      <c r="C28" s="253" t="s">
        <v>760</v>
      </c>
      <c r="D28" s="253">
        <v>21922.2</v>
      </c>
      <c r="E28" s="253">
        <v>0</v>
      </c>
      <c r="F28" s="253">
        <v>21922.2</v>
      </c>
      <c r="G28" s="253">
        <v>0</v>
      </c>
      <c r="H28" s="253">
        <v>21922.2</v>
      </c>
      <c r="I28" s="253">
        <v>0</v>
      </c>
    </row>
    <row r="29" spans="1:9" ht="15">
      <c r="A29" s="253" t="s">
        <v>761</v>
      </c>
      <c r="B29" s="253" t="s">
        <v>18</v>
      </c>
      <c r="C29" s="253" t="s">
        <v>762</v>
      </c>
      <c r="D29" s="253">
        <v>17955</v>
      </c>
      <c r="E29" s="253">
        <v>0</v>
      </c>
      <c r="F29" s="253">
        <v>17955</v>
      </c>
      <c r="G29" s="253">
        <v>0</v>
      </c>
      <c r="H29" s="253">
        <v>17955</v>
      </c>
      <c r="I29" s="253">
        <v>0</v>
      </c>
    </row>
    <row r="30" spans="1:9" ht="15">
      <c r="A30" s="253" t="s">
        <v>763</v>
      </c>
      <c r="B30" s="253" t="s">
        <v>18</v>
      </c>
      <c r="C30" s="253" t="s">
        <v>764</v>
      </c>
      <c r="D30" s="253">
        <v>1112.7</v>
      </c>
      <c r="E30" s="253">
        <v>0</v>
      </c>
      <c r="F30" s="253">
        <v>1112.7</v>
      </c>
      <c r="G30" s="253">
        <v>0</v>
      </c>
      <c r="H30" s="253">
        <v>1112.7</v>
      </c>
      <c r="I30" s="253">
        <v>0</v>
      </c>
    </row>
    <row r="31" spans="1:9" ht="15">
      <c r="A31" s="253" t="s">
        <v>765</v>
      </c>
      <c r="B31" s="253" t="s">
        <v>18</v>
      </c>
      <c r="C31" s="253" t="s">
        <v>766</v>
      </c>
      <c r="D31" s="253">
        <v>283.5</v>
      </c>
      <c r="E31" s="253">
        <v>0</v>
      </c>
      <c r="F31" s="253">
        <v>283.5</v>
      </c>
      <c r="G31" s="253">
        <v>0</v>
      </c>
      <c r="H31" s="253">
        <v>283.5</v>
      </c>
      <c r="I31" s="253">
        <v>0</v>
      </c>
    </row>
    <row r="32" spans="1:9" ht="15">
      <c r="A32" s="253" t="s">
        <v>767</v>
      </c>
      <c r="B32" s="253" t="s">
        <v>18</v>
      </c>
      <c r="C32" s="253" t="s">
        <v>768</v>
      </c>
      <c r="D32" s="253">
        <v>3841.6</v>
      </c>
      <c r="E32" s="253">
        <v>0</v>
      </c>
      <c r="F32" s="253">
        <v>3841.6</v>
      </c>
      <c r="G32" s="253">
        <v>0</v>
      </c>
      <c r="H32" s="253">
        <v>3841.6</v>
      </c>
      <c r="I32" s="253">
        <v>0</v>
      </c>
    </row>
    <row r="33" spans="1:9" ht="15">
      <c r="A33" s="253" t="s">
        <v>769</v>
      </c>
      <c r="B33" s="253" t="s">
        <v>18</v>
      </c>
      <c r="C33" s="253" t="s">
        <v>770</v>
      </c>
      <c r="D33" s="253">
        <v>3129</v>
      </c>
      <c r="E33" s="253">
        <v>0</v>
      </c>
      <c r="F33" s="253">
        <v>3129</v>
      </c>
      <c r="G33" s="253">
        <v>0</v>
      </c>
      <c r="H33" s="253">
        <v>3129</v>
      </c>
      <c r="I33" s="253">
        <v>0</v>
      </c>
    </row>
    <row r="34" spans="1:9" ht="15">
      <c r="A34" s="253" t="s">
        <v>771</v>
      </c>
      <c r="B34" s="253" t="s">
        <v>18</v>
      </c>
      <c r="C34" s="253" t="s">
        <v>772</v>
      </c>
      <c r="D34" s="253">
        <v>111.6</v>
      </c>
      <c r="E34" s="253">
        <v>0</v>
      </c>
      <c r="F34" s="253">
        <v>111.6</v>
      </c>
      <c r="G34" s="253">
        <v>0</v>
      </c>
      <c r="H34" s="253">
        <v>111.6</v>
      </c>
      <c r="I34" s="253">
        <v>0</v>
      </c>
    </row>
    <row r="35" spans="1:9" ht="15">
      <c r="A35" s="253" t="s">
        <v>773</v>
      </c>
      <c r="B35" s="253" t="s">
        <v>18</v>
      </c>
      <c r="C35" s="253" t="s">
        <v>774</v>
      </c>
      <c r="D35" s="253">
        <v>0</v>
      </c>
      <c r="E35" s="253">
        <v>0</v>
      </c>
      <c r="F35" s="253">
        <v>0</v>
      </c>
      <c r="G35" s="253">
        <v>0</v>
      </c>
      <c r="H35" s="253">
        <v>0</v>
      </c>
      <c r="I35" s="253">
        <v>0</v>
      </c>
    </row>
    <row r="36" spans="1:9" ht="15">
      <c r="A36" s="253" t="s">
        <v>775</v>
      </c>
      <c r="B36" s="253" t="s">
        <v>18</v>
      </c>
      <c r="C36" s="253" t="s">
        <v>776</v>
      </c>
      <c r="D36" s="253">
        <v>0</v>
      </c>
      <c r="E36" s="253">
        <v>0</v>
      </c>
      <c r="F36" s="253">
        <v>0</v>
      </c>
      <c r="G36" s="253">
        <v>0</v>
      </c>
      <c r="H36" s="253">
        <v>0</v>
      </c>
      <c r="I36" s="253">
        <v>0</v>
      </c>
    </row>
    <row r="37" spans="1:9" ht="15">
      <c r="A37" s="253" t="s">
        <v>777</v>
      </c>
      <c r="B37" s="253" t="s">
        <v>18</v>
      </c>
      <c r="C37" s="253" t="s">
        <v>778</v>
      </c>
      <c r="D37" s="253">
        <v>429</v>
      </c>
      <c r="E37" s="253">
        <v>0</v>
      </c>
      <c r="F37" s="253">
        <v>429</v>
      </c>
      <c r="G37" s="253">
        <v>0</v>
      </c>
      <c r="H37" s="253">
        <v>429</v>
      </c>
      <c r="I37" s="253">
        <v>0</v>
      </c>
    </row>
    <row r="38" spans="1:9" ht="15">
      <c r="A38" s="253" t="s">
        <v>779</v>
      </c>
      <c r="B38" s="253" t="s">
        <v>18</v>
      </c>
      <c r="C38" s="253" t="s">
        <v>780</v>
      </c>
      <c r="D38" s="253">
        <v>172</v>
      </c>
      <c r="E38" s="253">
        <v>0</v>
      </c>
      <c r="F38" s="253">
        <v>172</v>
      </c>
      <c r="G38" s="253">
        <v>0</v>
      </c>
      <c r="H38" s="253">
        <v>172</v>
      </c>
      <c r="I38" s="253">
        <v>0</v>
      </c>
    </row>
    <row r="39" spans="1:9" ht="15">
      <c r="A39" s="253" t="s">
        <v>781</v>
      </c>
      <c r="B39" s="253" t="s">
        <v>18</v>
      </c>
      <c r="C39" s="253" t="s">
        <v>782</v>
      </c>
      <c r="D39" s="253">
        <v>371353.46</v>
      </c>
      <c r="E39" s="253">
        <v>0</v>
      </c>
      <c r="F39" s="253">
        <v>371353.46</v>
      </c>
      <c r="G39" s="253">
        <v>1313</v>
      </c>
      <c r="H39" s="253">
        <v>372666.46</v>
      </c>
      <c r="I39" s="253">
        <v>0</v>
      </c>
    </row>
    <row r="40" spans="1:9" ht="15">
      <c r="A40" s="253" t="s">
        <v>783</v>
      </c>
      <c r="B40" s="253" t="s">
        <v>18</v>
      </c>
      <c r="C40" s="253" t="s">
        <v>784</v>
      </c>
      <c r="D40" s="253">
        <v>183242</v>
      </c>
      <c r="E40" s="253">
        <v>0</v>
      </c>
      <c r="F40" s="253">
        <v>183242</v>
      </c>
      <c r="G40" s="253">
        <v>1124</v>
      </c>
      <c r="H40" s="253">
        <v>184366</v>
      </c>
      <c r="I40" s="253">
        <v>0</v>
      </c>
    </row>
    <row r="41" spans="1:9" ht="15">
      <c r="A41" s="253" t="s">
        <v>785</v>
      </c>
      <c r="B41" s="253" t="s">
        <v>18</v>
      </c>
      <c r="C41" s="253" t="s">
        <v>786</v>
      </c>
      <c r="D41" s="253">
        <v>179168</v>
      </c>
      <c r="E41" s="253">
        <v>0</v>
      </c>
      <c r="F41" s="253">
        <v>179168</v>
      </c>
      <c r="G41" s="253">
        <v>1124</v>
      </c>
      <c r="H41" s="253">
        <v>180292</v>
      </c>
      <c r="I41" s="253">
        <v>0</v>
      </c>
    </row>
    <row r="42" spans="1:9" ht="15">
      <c r="A42" s="253" t="s">
        <v>787</v>
      </c>
      <c r="B42" s="253" t="s">
        <v>18</v>
      </c>
      <c r="C42" s="253" t="s">
        <v>788</v>
      </c>
      <c r="D42" s="253">
        <v>2908</v>
      </c>
      <c r="E42" s="253">
        <v>0</v>
      </c>
      <c r="F42" s="253">
        <v>2908</v>
      </c>
      <c r="G42" s="253">
        <v>0</v>
      </c>
      <c r="H42" s="253">
        <v>2908</v>
      </c>
      <c r="I42" s="253">
        <v>0</v>
      </c>
    </row>
    <row r="43" spans="1:9" ht="15">
      <c r="A43" s="253" t="s">
        <v>789</v>
      </c>
      <c r="B43" s="253" t="s">
        <v>18</v>
      </c>
      <c r="C43" s="253" t="s">
        <v>790</v>
      </c>
      <c r="D43" s="253">
        <v>1166</v>
      </c>
      <c r="E43" s="253">
        <v>0</v>
      </c>
      <c r="F43" s="253">
        <v>1166</v>
      </c>
      <c r="G43" s="253">
        <v>0</v>
      </c>
      <c r="H43" s="253">
        <v>1166</v>
      </c>
      <c r="I43" s="253">
        <v>0</v>
      </c>
    </row>
    <row r="44" spans="1:9" ht="15">
      <c r="A44" s="253" t="s">
        <v>791</v>
      </c>
      <c r="B44" s="253" t="s">
        <v>18</v>
      </c>
      <c r="C44" s="253" t="s">
        <v>792</v>
      </c>
      <c r="D44" s="253">
        <v>12119</v>
      </c>
      <c r="E44" s="253">
        <v>0</v>
      </c>
      <c r="F44" s="253">
        <v>12119</v>
      </c>
      <c r="G44" s="253">
        <v>86</v>
      </c>
      <c r="H44" s="253">
        <v>12205</v>
      </c>
      <c r="I44" s="253">
        <v>0</v>
      </c>
    </row>
    <row r="45" spans="1:9" ht="15">
      <c r="A45" s="253" t="s">
        <v>793</v>
      </c>
      <c r="B45" s="253" t="s">
        <v>18</v>
      </c>
      <c r="C45" s="253" t="s">
        <v>794</v>
      </c>
      <c r="D45" s="253">
        <v>163499.46000000002</v>
      </c>
      <c r="E45" s="253">
        <v>0</v>
      </c>
      <c r="F45" s="253">
        <v>163499.46000000002</v>
      </c>
      <c r="G45" s="253">
        <v>101</v>
      </c>
      <c r="H45" s="253">
        <v>163600.46000000002</v>
      </c>
      <c r="I45" s="253">
        <v>0</v>
      </c>
    </row>
    <row r="46" spans="1:9" ht="15">
      <c r="A46" s="253" t="s">
        <v>795</v>
      </c>
      <c r="B46" s="253" t="s">
        <v>18</v>
      </c>
      <c r="C46" s="253" t="s">
        <v>796</v>
      </c>
      <c r="D46" s="253">
        <v>0</v>
      </c>
      <c r="E46" s="253">
        <v>0</v>
      </c>
      <c r="F46" s="253">
        <v>0</v>
      </c>
      <c r="G46" s="253">
        <v>0</v>
      </c>
      <c r="H46" s="253">
        <v>0</v>
      </c>
      <c r="I46" s="253">
        <v>0</v>
      </c>
    </row>
    <row r="47" spans="1:9" ht="15">
      <c r="A47" s="253" t="s">
        <v>797</v>
      </c>
      <c r="B47" s="253" t="s">
        <v>18</v>
      </c>
      <c r="C47" s="253" t="s">
        <v>798</v>
      </c>
      <c r="D47" s="253">
        <v>6881</v>
      </c>
      <c r="E47" s="253">
        <v>0</v>
      </c>
      <c r="F47" s="253">
        <v>6881</v>
      </c>
      <c r="G47" s="253">
        <v>0</v>
      </c>
      <c r="H47" s="253">
        <v>6881</v>
      </c>
      <c r="I47" s="253">
        <v>0</v>
      </c>
    </row>
    <row r="48" spans="1:9" ht="15">
      <c r="A48" s="253" t="s">
        <v>799</v>
      </c>
      <c r="B48" s="253" t="s">
        <v>18</v>
      </c>
      <c r="C48" s="253" t="s">
        <v>800</v>
      </c>
      <c r="D48" s="253">
        <v>2527</v>
      </c>
      <c r="E48" s="253">
        <v>0</v>
      </c>
      <c r="F48" s="253">
        <v>2527</v>
      </c>
      <c r="G48" s="253">
        <v>2</v>
      </c>
      <c r="H48" s="253">
        <v>2529</v>
      </c>
      <c r="I48" s="253">
        <v>0</v>
      </c>
    </row>
    <row r="49" spans="1:9" ht="15">
      <c r="A49" s="253" t="s">
        <v>801</v>
      </c>
      <c r="B49" s="253" t="s">
        <v>18</v>
      </c>
      <c r="C49" s="253" t="s">
        <v>802</v>
      </c>
      <c r="D49" s="253">
        <v>3085</v>
      </c>
      <c r="E49" s="253">
        <v>0</v>
      </c>
      <c r="F49" s="253">
        <v>3085</v>
      </c>
      <c r="G49" s="253">
        <v>0</v>
      </c>
      <c r="H49" s="253">
        <v>3085</v>
      </c>
      <c r="I49" s="253">
        <v>0</v>
      </c>
    </row>
    <row r="50" spans="1:9" ht="15">
      <c r="A50" s="253" t="s">
        <v>803</v>
      </c>
      <c r="B50" s="253" t="s">
        <v>18</v>
      </c>
      <c r="C50" s="253" t="s">
        <v>804</v>
      </c>
      <c r="D50" s="253">
        <v>0</v>
      </c>
      <c r="E50" s="253">
        <v>0</v>
      </c>
      <c r="F50" s="253">
        <v>0</v>
      </c>
      <c r="G50" s="253">
        <v>0</v>
      </c>
      <c r="H50" s="253">
        <v>0</v>
      </c>
      <c r="I50" s="253">
        <v>0</v>
      </c>
    </row>
    <row r="51" spans="1:9" ht="15">
      <c r="A51" s="253" t="s">
        <v>805</v>
      </c>
      <c r="B51" s="253" t="s">
        <v>18</v>
      </c>
      <c r="C51" s="253" t="s">
        <v>806</v>
      </c>
      <c r="D51" s="253">
        <v>3794</v>
      </c>
      <c r="E51" s="253">
        <v>0</v>
      </c>
      <c r="F51" s="253">
        <v>3794</v>
      </c>
      <c r="G51" s="253">
        <v>0</v>
      </c>
      <c r="H51" s="253">
        <v>3794</v>
      </c>
      <c r="I51" s="253">
        <v>0</v>
      </c>
    </row>
    <row r="52" spans="1:9" ht="15">
      <c r="A52" s="253" t="s">
        <v>807</v>
      </c>
      <c r="B52" s="253" t="s">
        <v>18</v>
      </c>
      <c r="C52" s="253" t="s">
        <v>808</v>
      </c>
      <c r="D52" s="253">
        <v>365116.4600000001</v>
      </c>
      <c r="E52" s="253">
        <v>0</v>
      </c>
      <c r="F52" s="253">
        <v>365116.4600000001</v>
      </c>
      <c r="G52" s="253">
        <v>1313</v>
      </c>
      <c r="H52" s="253">
        <v>366429.4600000001</v>
      </c>
      <c r="I52" s="253">
        <v>0</v>
      </c>
    </row>
    <row r="53" spans="1:9" ht="15">
      <c r="A53" s="253" t="s">
        <v>809</v>
      </c>
      <c r="B53" s="253" t="s">
        <v>18</v>
      </c>
      <c r="C53" s="253" t="s">
        <v>810</v>
      </c>
      <c r="D53" s="253">
        <v>371353.46</v>
      </c>
      <c r="E53" s="253">
        <v>0</v>
      </c>
      <c r="F53" s="253">
        <v>371353.46</v>
      </c>
      <c r="G53" s="253">
        <v>1313</v>
      </c>
      <c r="H53" s="253">
        <v>372666.46</v>
      </c>
      <c r="I53" s="253">
        <v>0</v>
      </c>
    </row>
    <row r="54" spans="1:9" ht="15">
      <c r="A54" s="253" t="s">
        <v>811</v>
      </c>
      <c r="B54" s="253" t="s">
        <v>18</v>
      </c>
      <c r="C54" s="253" t="s">
        <v>812</v>
      </c>
      <c r="D54" s="253">
        <v>18950</v>
      </c>
      <c r="E54" s="253">
        <v>0</v>
      </c>
      <c r="F54" s="253">
        <v>18950</v>
      </c>
      <c r="G54" s="253">
        <v>0</v>
      </c>
      <c r="H54" s="253">
        <v>18950</v>
      </c>
      <c r="I54" s="253">
        <v>0</v>
      </c>
    </row>
    <row r="55" spans="1:9" ht="15">
      <c r="A55" s="253" t="s">
        <v>813</v>
      </c>
      <c r="B55" s="253" t="s">
        <v>18</v>
      </c>
      <c r="C55" s="253" t="s">
        <v>814</v>
      </c>
      <c r="D55" s="253">
        <v>12713</v>
      </c>
      <c r="E55" s="253">
        <v>0</v>
      </c>
      <c r="F55" s="253">
        <v>12713</v>
      </c>
      <c r="G55" s="253">
        <v>0</v>
      </c>
      <c r="H55" s="253">
        <v>12713</v>
      </c>
      <c r="I55" s="253">
        <v>0</v>
      </c>
    </row>
    <row r="56" spans="1:9" ht="15">
      <c r="A56" s="253" t="s">
        <v>815</v>
      </c>
      <c r="B56" s="253" t="s">
        <v>18</v>
      </c>
      <c r="C56" s="253" t="s">
        <v>816</v>
      </c>
      <c r="D56" s="253">
        <v>0</v>
      </c>
      <c r="E56" s="253">
        <v>0</v>
      </c>
      <c r="F56" s="253">
        <v>0</v>
      </c>
      <c r="G56" s="253">
        <v>0</v>
      </c>
      <c r="H56" s="253">
        <v>0</v>
      </c>
      <c r="I56" s="253">
        <v>0</v>
      </c>
    </row>
    <row r="57" spans="1:9" ht="15">
      <c r="A57" s="253" t="s">
        <v>817</v>
      </c>
      <c r="B57" s="253" t="s">
        <v>18</v>
      </c>
      <c r="C57" s="253" t="s">
        <v>818</v>
      </c>
      <c r="D57" s="253">
        <v>0</v>
      </c>
      <c r="E57" s="253">
        <v>0</v>
      </c>
      <c r="F57" s="253">
        <v>0</v>
      </c>
      <c r="G57" s="253">
        <v>0</v>
      </c>
      <c r="H57" s="253">
        <v>0</v>
      </c>
      <c r="I57" s="253">
        <v>0</v>
      </c>
    </row>
    <row r="58" spans="1:9" ht="15">
      <c r="A58" s="253" t="s">
        <v>819</v>
      </c>
      <c r="B58" s="253" t="s">
        <v>18</v>
      </c>
      <c r="C58" s="253" t="s">
        <v>820</v>
      </c>
      <c r="D58" s="253">
        <v>384066.4600000001</v>
      </c>
      <c r="E58" s="253">
        <v>0</v>
      </c>
      <c r="F58" s="253">
        <v>384066.4600000001</v>
      </c>
      <c r="G58" s="253">
        <v>1313</v>
      </c>
      <c r="H58" s="253">
        <v>385379.4600000001</v>
      </c>
      <c r="I58" s="253">
        <v>0</v>
      </c>
    </row>
    <row r="59" spans="1:9" ht="15">
      <c r="A59" s="253" t="s">
        <v>821</v>
      </c>
      <c r="B59" s="253" t="s">
        <v>18</v>
      </c>
      <c r="C59" s="253" t="s">
        <v>822</v>
      </c>
      <c r="D59" s="253">
        <v>384066.46</v>
      </c>
      <c r="E59" s="253">
        <v>0</v>
      </c>
      <c r="F59" s="253">
        <v>384066.46</v>
      </c>
      <c r="G59" s="253">
        <v>1313</v>
      </c>
      <c r="H59" s="253">
        <v>385379.46</v>
      </c>
      <c r="I59" s="253">
        <v>0</v>
      </c>
    </row>
    <row r="60" spans="1:9" ht="15">
      <c r="A60" s="253" t="s">
        <v>823</v>
      </c>
      <c r="B60" s="253" t="s">
        <v>18</v>
      </c>
      <c r="C60" s="253" t="s">
        <v>824</v>
      </c>
      <c r="D60" s="253">
        <v>0</v>
      </c>
      <c r="E60" s="253">
        <v>0</v>
      </c>
      <c r="F60" s="253">
        <v>0</v>
      </c>
      <c r="G60" s="253">
        <v>0</v>
      </c>
      <c r="H60" s="253">
        <v>0</v>
      </c>
      <c r="I60" s="253">
        <v>0</v>
      </c>
    </row>
    <row r="61" spans="1:9" ht="15">
      <c r="A61" s="253" t="s">
        <v>825</v>
      </c>
      <c r="B61" s="253" t="s">
        <v>18</v>
      </c>
      <c r="C61" s="253" t="s">
        <v>826</v>
      </c>
      <c r="D61" s="253">
        <v>2674</v>
      </c>
      <c r="E61" s="253">
        <v>0</v>
      </c>
      <c r="F61" s="253">
        <v>0</v>
      </c>
      <c r="G61" s="253">
        <v>0</v>
      </c>
      <c r="H61" s="253">
        <v>2674</v>
      </c>
      <c r="I61" s="253">
        <v>0</v>
      </c>
    </row>
    <row r="62" spans="1:9" ht="15">
      <c r="A62" s="253" t="s">
        <v>827</v>
      </c>
      <c r="B62" s="253" t="s">
        <v>18</v>
      </c>
      <c r="C62" s="253" t="s">
        <v>828</v>
      </c>
      <c r="D62" s="253">
        <v>0</v>
      </c>
      <c r="E62" s="253">
        <v>0</v>
      </c>
      <c r="F62" s="253">
        <v>0</v>
      </c>
      <c r="G62" s="253">
        <v>0</v>
      </c>
      <c r="H62" s="253">
        <v>0</v>
      </c>
      <c r="I62" s="253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E13" sqref="E13"/>
    </sheetView>
  </sheetViews>
  <sheetFormatPr defaultColWidth="9.140625" defaultRowHeight="15"/>
  <sheetData>
    <row r="1" spans="1:4" ht="15">
      <c r="A1" s="253" t="s">
        <v>673</v>
      </c>
      <c r="B1" s="253" t="s">
        <v>675</v>
      </c>
      <c r="C1" s="253" t="s">
        <v>664</v>
      </c>
      <c r="D1" s="253" t="s">
        <v>829</v>
      </c>
    </row>
    <row r="2" spans="1:4" ht="15">
      <c r="A2" s="253" t="s">
        <v>830</v>
      </c>
      <c r="B2" s="253" t="s">
        <v>18</v>
      </c>
      <c r="C2" s="253" t="s">
        <v>831</v>
      </c>
      <c r="D2" s="253" t="s">
        <v>832</v>
      </c>
    </row>
    <row r="3" spans="1:4" ht="15">
      <c r="A3" s="253" t="s">
        <v>833</v>
      </c>
      <c r="B3" s="253" t="s">
        <v>18</v>
      </c>
      <c r="C3" s="253" t="s">
        <v>834</v>
      </c>
      <c r="D3" s="253" t="s">
        <v>835</v>
      </c>
    </row>
    <row r="4" spans="1:4" ht="15">
      <c r="A4" s="253" t="s">
        <v>836</v>
      </c>
      <c r="B4" s="253" t="s">
        <v>18</v>
      </c>
      <c r="C4" s="253" t="s">
        <v>837</v>
      </c>
      <c r="D4" s="253" t="s">
        <v>838</v>
      </c>
    </row>
    <row r="5" spans="1:4" ht="15">
      <c r="A5" s="253" t="s">
        <v>839</v>
      </c>
      <c r="B5" s="253" t="s">
        <v>18</v>
      </c>
      <c r="C5" s="253" t="s">
        <v>840</v>
      </c>
      <c r="D5" s="253" t="s">
        <v>841</v>
      </c>
    </row>
    <row r="6" spans="1:4" ht="15">
      <c r="A6" s="253" t="s">
        <v>842</v>
      </c>
      <c r="B6" s="253" t="s">
        <v>18</v>
      </c>
      <c r="C6" s="253" t="s">
        <v>843</v>
      </c>
      <c r="D6" s="253" t="s">
        <v>844</v>
      </c>
    </row>
    <row r="7" spans="1:4" ht="15">
      <c r="A7" s="253"/>
      <c r="B7" s="253"/>
      <c r="C7" s="253"/>
      <c r="D7" s="253"/>
    </row>
    <row r="8" spans="1:4" ht="15">
      <c r="A8" s="253"/>
      <c r="B8" s="253"/>
      <c r="C8" s="253"/>
      <c r="D8" s="253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6384" width="9.140625" style="77" customWidth="1"/>
  </cols>
  <sheetData>
    <row r="1" ht="15">
      <c r="A1" s="77" t="s">
        <v>0</v>
      </c>
    </row>
    <row r="2" ht="15">
      <c r="A2" s="77" t="s">
        <v>2</v>
      </c>
    </row>
    <row r="3" ht="15">
      <c r="A3" s="77" t="s">
        <v>3</v>
      </c>
    </row>
    <row r="4" ht="15">
      <c r="A4" s="77" t="s">
        <v>4</v>
      </c>
    </row>
    <row r="5" ht="15">
      <c r="A5" s="77" t="s">
        <v>5</v>
      </c>
    </row>
    <row r="6" ht="15">
      <c r="A6" s="77" t="s">
        <v>6</v>
      </c>
    </row>
    <row r="7" ht="15">
      <c r="A7" s="77" t="s">
        <v>7</v>
      </c>
    </row>
    <row r="8" ht="15">
      <c r="A8" s="77" t="s">
        <v>8</v>
      </c>
    </row>
    <row r="9" ht="15">
      <c r="A9" s="77" t="s">
        <v>9</v>
      </c>
    </row>
    <row r="10" ht="15">
      <c r="A10" s="77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77" customWidth="1"/>
    <col min="4" max="4" width="14.57421875" style="77" bestFit="1" customWidth="1"/>
    <col min="5" max="5" width="9.140625" style="77" customWidth="1"/>
    <col min="6" max="6" width="17.00390625" style="77" bestFit="1" customWidth="1"/>
    <col min="7" max="7" width="19.7109375" style="77" bestFit="1" customWidth="1"/>
    <col min="8" max="8" width="17.8515625" style="77" customWidth="1"/>
    <col min="9" max="16384" width="9.140625" style="77" customWidth="1"/>
  </cols>
  <sheetData>
    <row r="1" spans="1:8" ht="15">
      <c r="A1" s="276" t="s">
        <v>11</v>
      </c>
      <c r="B1" s="276" t="s">
        <v>12</v>
      </c>
      <c r="C1" s="276" t="s">
        <v>13</v>
      </c>
      <c r="D1" s="276" t="s">
        <v>14</v>
      </c>
      <c r="E1" s="276" t="s">
        <v>15</v>
      </c>
      <c r="F1" s="276" t="s">
        <v>16</v>
      </c>
      <c r="G1" s="276" t="s">
        <v>17</v>
      </c>
      <c r="H1" s="345"/>
    </row>
    <row r="2" spans="1:8" ht="15">
      <c r="A2" s="276" t="s">
        <v>18</v>
      </c>
      <c r="B2" s="276" t="s">
        <v>19</v>
      </c>
      <c r="C2" s="276" t="s">
        <v>20</v>
      </c>
      <c r="D2" s="274" t="s">
        <v>21</v>
      </c>
      <c r="E2" s="275" t="s">
        <v>22</v>
      </c>
      <c r="F2" s="276" t="s">
        <v>23</v>
      </c>
      <c r="G2" s="276" t="s">
        <v>24</v>
      </c>
      <c r="H2" s="34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3.57421875" style="0" bestFit="1" customWidth="1"/>
  </cols>
  <sheetData>
    <row r="1" spans="1:2" ht="15">
      <c r="A1" s="414" t="s">
        <v>25</v>
      </c>
      <c r="B1" s="414" t="s">
        <v>26</v>
      </c>
    </row>
    <row r="2" spans="1:2" ht="15">
      <c r="A2" s="344" t="s">
        <v>27</v>
      </c>
      <c r="B2" s="116" t="s">
        <v>28</v>
      </c>
    </row>
    <row r="3" spans="1:2" ht="15">
      <c r="A3" s="344" t="s">
        <v>29</v>
      </c>
      <c r="B3" s="414" t="s">
        <v>30</v>
      </c>
    </row>
    <row r="4" spans="1:2" ht="15">
      <c r="A4" s="344" t="s">
        <v>31</v>
      </c>
      <c r="B4" s="414" t="s">
        <v>32</v>
      </c>
    </row>
    <row r="5" spans="1:2" ht="15">
      <c r="A5" s="344" t="s">
        <v>33</v>
      </c>
      <c r="B5" s="414" t="s">
        <v>34</v>
      </c>
    </row>
    <row r="6" spans="1:2" ht="15">
      <c r="A6" s="344" t="s">
        <v>35</v>
      </c>
      <c r="B6" s="414" t="s">
        <v>36</v>
      </c>
    </row>
    <row r="7" spans="1:2" ht="15">
      <c r="A7" s="344" t="s">
        <v>37</v>
      </c>
      <c r="B7" s="414" t="s">
        <v>38</v>
      </c>
    </row>
    <row r="8" spans="1:2" ht="15">
      <c r="A8" s="344" t="s">
        <v>39</v>
      </c>
      <c r="B8" s="414" t="s">
        <v>40</v>
      </c>
    </row>
    <row r="9" spans="1:2" ht="15">
      <c r="A9" s="344" t="s">
        <v>41</v>
      </c>
      <c r="B9" s="414" t="s">
        <v>42</v>
      </c>
    </row>
    <row r="10" spans="1:2" ht="15">
      <c r="A10" s="344" t="s">
        <v>43</v>
      </c>
      <c r="B10" s="414" t="s">
        <v>44</v>
      </c>
    </row>
    <row r="11" spans="1:2" ht="15">
      <c r="A11" s="344" t="s">
        <v>45</v>
      </c>
      <c r="B11" s="414" t="s">
        <v>46</v>
      </c>
    </row>
    <row r="12" spans="1:2" ht="15">
      <c r="A12" s="344" t="s">
        <v>47</v>
      </c>
      <c r="B12" s="414" t="s">
        <v>48</v>
      </c>
    </row>
    <row r="13" spans="1:2" ht="15">
      <c r="A13" s="344" t="s">
        <v>49</v>
      </c>
      <c r="B13" s="414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B10" sqref="B10"/>
    </sheetView>
  </sheetViews>
  <sheetFormatPr defaultColWidth="0" defaultRowHeight="12.75" customHeight="1" zeroHeight="1"/>
  <cols>
    <col min="1" max="1" width="9.140625" style="114" customWidth="1"/>
    <col min="2" max="2" width="23.7109375" style="92" customWidth="1"/>
    <col min="3" max="3" width="9.140625" style="92" customWidth="1"/>
    <col min="4" max="4" width="12.421875" style="92" customWidth="1"/>
    <col min="5" max="8" width="9.140625" style="92" customWidth="1"/>
    <col min="9" max="9" width="3.421875" style="92" hidden="1" customWidth="1"/>
    <col min="10" max="10" width="3.00390625" style="92" hidden="1" customWidth="1"/>
    <col min="11" max="11" width="4.00390625" style="93" hidden="1" customWidth="1"/>
    <col min="12" max="12" width="58.28125" style="93" hidden="1" customWidth="1"/>
    <col min="13" max="16384" width="9.140625" style="92" hidden="1" customWidth="1"/>
  </cols>
  <sheetData>
    <row r="1" spans="1:8" ht="12.75">
      <c r="A1" s="89"/>
      <c r="B1" s="90"/>
      <c r="C1" s="90"/>
      <c r="D1" s="90"/>
      <c r="E1" s="90"/>
      <c r="F1" s="90"/>
      <c r="G1" s="90"/>
      <c r="H1" s="91"/>
    </row>
    <row r="2" spans="1:12" s="99" customFormat="1" ht="12.75">
      <c r="A2" s="94" t="s">
        <v>51</v>
      </c>
      <c r="B2" s="95" t="str">
        <f>ANAGR!$A$2</f>
        <v>702</v>
      </c>
      <c r="C2" s="96" t="str">
        <f>ANAGR!$B$2</f>
        <v>ASST SANTI PAOLO E CARLO</v>
      </c>
      <c r="D2" s="97"/>
      <c r="E2" s="97"/>
      <c r="F2" s="97"/>
      <c r="G2" s="97"/>
      <c r="H2" s="98"/>
      <c r="J2" s="100"/>
      <c r="K2" s="101"/>
      <c r="L2" s="101"/>
    </row>
    <row r="3" spans="1:10" ht="12.75">
      <c r="A3" s="94" t="s">
        <v>52</v>
      </c>
      <c r="B3" s="102" t="str">
        <f>ANAGR!$C$2</f>
        <v>2016</v>
      </c>
      <c r="C3" s="103"/>
      <c r="D3" s="103"/>
      <c r="E3" s="103"/>
      <c r="F3" s="103"/>
      <c r="G3" s="103"/>
      <c r="H3" s="104"/>
      <c r="J3" s="105"/>
    </row>
    <row r="4" spans="1:10" ht="12.75">
      <c r="A4" s="94"/>
      <c r="B4" s="103"/>
      <c r="C4" s="103"/>
      <c r="D4" s="103"/>
      <c r="E4" s="103"/>
      <c r="F4" s="103"/>
      <c r="G4" s="103"/>
      <c r="H4" s="104"/>
      <c r="J4" s="105"/>
    </row>
    <row r="5" spans="1:10" ht="12.75">
      <c r="A5" s="94" t="s">
        <v>53</v>
      </c>
      <c r="B5" s="102" t="str">
        <f>ANAGR!$D$2</f>
        <v>Preventivo</v>
      </c>
      <c r="C5" s="106" t="s">
        <v>54</v>
      </c>
      <c r="D5" s="103"/>
      <c r="E5" s="103"/>
      <c r="F5" s="103"/>
      <c r="G5" s="103"/>
      <c r="H5" s="104"/>
      <c r="J5" s="105"/>
    </row>
    <row r="6" spans="1:10" ht="12.75">
      <c r="A6" s="94"/>
      <c r="B6" s="103"/>
      <c r="C6" s="106"/>
      <c r="D6" s="103"/>
      <c r="E6" s="103"/>
      <c r="F6" s="103"/>
      <c r="G6" s="103"/>
      <c r="H6" s="104"/>
      <c r="J6" s="105"/>
    </row>
    <row r="7" spans="1:10" ht="12.75">
      <c r="A7" s="94"/>
      <c r="B7" s="108"/>
      <c r="C7" s="103"/>
      <c r="D7" s="103"/>
      <c r="E7" s="103"/>
      <c r="F7" s="103"/>
      <c r="G7" s="103"/>
      <c r="H7" s="104"/>
      <c r="J7" s="105"/>
    </row>
    <row r="8" spans="1:10" ht="12.75">
      <c r="A8" s="94" t="s">
        <v>55</v>
      </c>
      <c r="B8" s="109" t="str">
        <f>MID(ANAGR!$E$2,6,2)</f>
        <v>V2</v>
      </c>
      <c r="C8" s="103"/>
      <c r="D8" s="103"/>
      <c r="E8" s="103"/>
      <c r="F8" s="103"/>
      <c r="G8" s="103"/>
      <c r="H8" s="104"/>
      <c r="J8" s="105"/>
    </row>
    <row r="9" spans="1:10" ht="12.75">
      <c r="A9" s="94" t="s">
        <v>56</v>
      </c>
      <c r="B9" s="110">
        <v>42628</v>
      </c>
      <c r="C9" s="107" t="s">
        <v>57</v>
      </c>
      <c r="D9" s="103"/>
      <c r="E9" s="103"/>
      <c r="F9" s="103"/>
      <c r="G9" s="103"/>
      <c r="H9" s="104"/>
      <c r="J9" s="105"/>
    </row>
    <row r="10" spans="1:10" ht="12.75">
      <c r="A10" s="94"/>
      <c r="B10" s="103"/>
      <c r="C10" s="103"/>
      <c r="D10" s="103"/>
      <c r="E10" s="103"/>
      <c r="F10" s="103"/>
      <c r="G10" s="103"/>
      <c r="H10" s="104"/>
      <c r="J10" s="105"/>
    </row>
    <row r="11" spans="1:10" ht="12.75">
      <c r="A11" s="94"/>
      <c r="B11" s="103"/>
      <c r="C11" s="103"/>
      <c r="D11" s="103"/>
      <c r="E11" s="103"/>
      <c r="F11" s="103"/>
      <c r="G11" s="103"/>
      <c r="H11" s="104"/>
      <c r="J11" s="105"/>
    </row>
    <row r="12" spans="1:10" ht="13.5" thickBot="1">
      <c r="A12" s="111"/>
      <c r="B12" s="112"/>
      <c r="C12" s="112"/>
      <c r="D12" s="112"/>
      <c r="E12" s="112"/>
      <c r="F12" s="112"/>
      <c r="G12" s="112"/>
      <c r="H12" s="113" t="s">
        <v>58</v>
      </c>
      <c r="J12" s="105"/>
    </row>
    <row r="13" spans="11:14" ht="12.75" hidden="1">
      <c r="K13" s="93">
        <v>311</v>
      </c>
      <c r="L13" s="93" t="s">
        <v>59</v>
      </c>
      <c r="N13" s="92" t="s">
        <v>60</v>
      </c>
    </row>
    <row r="14" spans="11:14" ht="12.75" hidden="1">
      <c r="K14" s="93">
        <v>312</v>
      </c>
      <c r="L14" s="93" t="s">
        <v>61</v>
      </c>
      <c r="N14" s="92" t="s">
        <v>62</v>
      </c>
    </row>
    <row r="15" spans="11:14" ht="12.75" hidden="1">
      <c r="K15" s="93">
        <v>313</v>
      </c>
      <c r="L15" s="93" t="s">
        <v>63</v>
      </c>
      <c r="N15" s="92" t="s">
        <v>64</v>
      </c>
    </row>
    <row r="16" spans="11:12" ht="12.75" hidden="1">
      <c r="K16" s="93">
        <v>314</v>
      </c>
      <c r="L16" s="93" t="s">
        <v>65</v>
      </c>
    </row>
    <row r="17" spans="11:12" ht="12.75" hidden="1">
      <c r="K17" s="93">
        <v>315</v>
      </c>
      <c r="L17" s="93" t="s">
        <v>66</v>
      </c>
    </row>
    <row r="18" spans="11:12" ht="12.75" hidden="1">
      <c r="K18" s="93">
        <v>951</v>
      </c>
      <c r="L18" s="93" t="s">
        <v>67</v>
      </c>
    </row>
    <row r="19" spans="11:12" ht="12.75" hidden="1">
      <c r="K19" s="93">
        <v>952</v>
      </c>
      <c r="L19" s="93" t="s">
        <v>68</v>
      </c>
    </row>
    <row r="20" spans="11:12" ht="12.75" hidden="1">
      <c r="K20" s="93">
        <v>953</v>
      </c>
      <c r="L20" s="93" t="s">
        <v>69</v>
      </c>
    </row>
    <row r="21" spans="11:12" ht="12.75" hidden="1">
      <c r="K21" s="93">
        <v>954</v>
      </c>
      <c r="L21" s="93" t="s">
        <v>70</v>
      </c>
    </row>
    <row r="22" spans="11:12" ht="12.75" hidden="1">
      <c r="K22" s="93">
        <v>955</v>
      </c>
      <c r="L22" s="93" t="s">
        <v>71</v>
      </c>
    </row>
    <row r="23" spans="11:12" ht="12.75" hidden="1">
      <c r="K23" s="93">
        <v>956</v>
      </c>
      <c r="L23" s="93" t="s">
        <v>72</v>
      </c>
    </row>
    <row r="24" spans="11:12" ht="12.75" hidden="1">
      <c r="K24" s="93">
        <v>957</v>
      </c>
      <c r="L24" s="93" t="s">
        <v>73</v>
      </c>
    </row>
    <row r="25" spans="11:12" ht="12.75" hidden="1">
      <c r="K25" s="93">
        <v>958</v>
      </c>
      <c r="L25" s="93" t="s">
        <v>74</v>
      </c>
    </row>
    <row r="26" spans="11:12" ht="12.75" hidden="1">
      <c r="K26" s="93">
        <v>959</v>
      </c>
      <c r="L26" s="93" t="s">
        <v>75</v>
      </c>
    </row>
    <row r="27" spans="11:12" ht="12.75" hidden="1">
      <c r="K27" s="93">
        <v>960</v>
      </c>
      <c r="L27" s="93" t="s">
        <v>76</v>
      </c>
    </row>
    <row r="28" spans="11:12" ht="12.75" hidden="1">
      <c r="K28" s="93">
        <v>962</v>
      </c>
      <c r="L28" s="93" t="s">
        <v>77</v>
      </c>
    </row>
    <row r="29" spans="11:12" ht="12.75" hidden="1">
      <c r="K29" s="93">
        <v>963</v>
      </c>
      <c r="L29" s="93" t="s">
        <v>78</v>
      </c>
    </row>
    <row r="30" spans="11:12" ht="12.75" hidden="1">
      <c r="K30" s="93">
        <v>964</v>
      </c>
      <c r="L30" s="93" t="s">
        <v>79</v>
      </c>
    </row>
    <row r="31" spans="11:12" ht="12.75" hidden="1">
      <c r="K31" s="93">
        <v>965</v>
      </c>
      <c r="L31" s="93" t="s">
        <v>80</v>
      </c>
    </row>
    <row r="32" spans="11:12" ht="12.75" hidden="1">
      <c r="K32" s="93">
        <v>966</v>
      </c>
      <c r="L32" s="93" t="s">
        <v>81</v>
      </c>
    </row>
    <row r="33" spans="11:12" ht="12.75" hidden="1">
      <c r="K33" s="93">
        <v>967</v>
      </c>
      <c r="L33" s="93" t="s">
        <v>82</v>
      </c>
    </row>
    <row r="34" spans="11:12" ht="12.75" hidden="1">
      <c r="K34" s="93">
        <v>968</v>
      </c>
      <c r="L34" s="93" t="s">
        <v>83</v>
      </c>
    </row>
    <row r="35" spans="11:12" ht="12.75" hidden="1">
      <c r="K35" s="93">
        <v>969</v>
      </c>
      <c r="L35" s="93" t="s">
        <v>84</v>
      </c>
    </row>
    <row r="36" spans="11:12" ht="12.75" hidden="1">
      <c r="K36" s="93">
        <v>970</v>
      </c>
      <c r="L36" s="93" t="s">
        <v>85</v>
      </c>
    </row>
    <row r="37" spans="11:12" ht="12.75" hidden="1">
      <c r="K37" s="93">
        <v>971</v>
      </c>
      <c r="L37" s="93" t="s">
        <v>86</v>
      </c>
    </row>
    <row r="38" spans="11:12" ht="12.75" hidden="1">
      <c r="K38" s="93">
        <v>972</v>
      </c>
      <c r="L38" s="93" t="s">
        <v>87</v>
      </c>
    </row>
    <row r="39" spans="11:12" ht="12.75" hidden="1">
      <c r="K39" s="93">
        <v>973</v>
      </c>
      <c r="L39" s="93" t="s">
        <v>88</v>
      </c>
    </row>
    <row r="40" spans="11:12" ht="12.75" hidden="1">
      <c r="K40" s="93">
        <v>974</v>
      </c>
      <c r="L40" s="93" t="s">
        <v>89</v>
      </c>
    </row>
    <row r="41" spans="11:12" ht="12.75" hidden="1">
      <c r="K41" s="93">
        <v>975</v>
      </c>
      <c r="L41" s="93" t="s">
        <v>90</v>
      </c>
    </row>
    <row r="42" spans="11:12" ht="12.75" hidden="1">
      <c r="K42" s="93">
        <v>976</v>
      </c>
      <c r="L42" s="93" t="s">
        <v>91</v>
      </c>
    </row>
    <row r="43" spans="11:12" ht="12.75" hidden="1">
      <c r="K43" s="93">
        <v>977</v>
      </c>
      <c r="L43" s="93" t="s">
        <v>92</v>
      </c>
    </row>
    <row r="44" spans="11:12" ht="12.75" hidden="1">
      <c r="K44" s="93">
        <v>978</v>
      </c>
      <c r="L44" s="93" t="s">
        <v>93</v>
      </c>
    </row>
    <row r="45" spans="11:12" ht="12.75" hidden="1">
      <c r="K45" s="93">
        <v>979</v>
      </c>
      <c r="L45" s="93" t="s">
        <v>94</v>
      </c>
    </row>
    <row r="46" spans="11:12" ht="12.75" hidden="1">
      <c r="K46" s="93">
        <v>980</v>
      </c>
      <c r="L46" s="93" t="s">
        <v>95</v>
      </c>
    </row>
    <row r="47" spans="11:12" ht="12.75" hidden="1">
      <c r="K47" s="93">
        <v>920</v>
      </c>
      <c r="L47" s="93" t="s">
        <v>96</v>
      </c>
    </row>
    <row r="48" spans="11:12" ht="12.75" hidden="1">
      <c r="K48" s="93">
        <v>922</v>
      </c>
      <c r="L48" s="93" t="s">
        <v>97</v>
      </c>
    </row>
    <row r="49" spans="11:12" ht="12.75" hidden="1">
      <c r="K49" s="93">
        <v>923</v>
      </c>
      <c r="L49" s="93" t="s">
        <v>98</v>
      </c>
    </row>
    <row r="50" spans="11:12" ht="12.75" hidden="1">
      <c r="K50" s="93">
        <v>924</v>
      </c>
      <c r="L50" s="93" t="s">
        <v>99</v>
      </c>
    </row>
    <row r="51" spans="11:12" ht="12.75" hidden="1">
      <c r="K51" s="93">
        <v>925</v>
      </c>
      <c r="L51" s="93" t="s">
        <v>100</v>
      </c>
    </row>
    <row r="52" spans="11:12" ht="12.75" hidden="1">
      <c r="K52" s="93" t="s">
        <v>101</v>
      </c>
      <c r="L52" s="115" t="s">
        <v>102</v>
      </c>
    </row>
    <row r="53" ht="12.75" hidden="1"/>
    <row r="54" ht="12.75" hidden="1"/>
  </sheetData>
  <sheetProtection password="A01C" sheet="1"/>
  <dataValidations count="2">
    <dataValidation allowBlank="1" showErrorMessage="1" prompt="INSERIRE LA DATA DI AGGIORNAMENTO" sqref="B9"/>
    <dataValidation type="list" allowBlank="1" showInputMessage="1" showErrorMessage="1" sqref="B8">
      <formula1>VERSIONI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showGridLines="0" zoomScalePageLayoutView="0" workbookViewId="0" topLeftCell="C49">
      <selection activeCell="E60" sqref="E60"/>
    </sheetView>
  </sheetViews>
  <sheetFormatPr defaultColWidth="9.140625" defaultRowHeight="15"/>
  <cols>
    <col min="1" max="1" width="12.00390625" style="0" hidden="1" customWidth="1"/>
    <col min="2" max="2" width="7.8515625" style="0" hidden="1" customWidth="1"/>
    <col min="3" max="3" width="18.140625" style="0" customWidth="1"/>
    <col min="4" max="4" width="59.00390625" style="0" customWidth="1"/>
    <col min="5" max="5" width="12.140625" style="0" customWidth="1"/>
    <col min="6" max="6" width="16.140625" style="0" customWidth="1"/>
    <col min="7" max="7" width="14.7109375" style="0" customWidth="1"/>
    <col min="8" max="8" width="22.57421875" style="0" bestFit="1" customWidth="1"/>
    <col min="9" max="9" width="22.8515625" style="0" customWidth="1"/>
    <col min="11" max="11" width="10.8515625" style="0" hidden="1" customWidth="1"/>
  </cols>
  <sheetData>
    <row r="1" spans="1:11" ht="24" thickBot="1">
      <c r="A1" s="17"/>
      <c r="B1" s="17"/>
      <c r="C1" s="277" t="str">
        <f>"ASSEGNAZIONE Preventivo "&amp;Info!$B$3&amp;" "&amp;Info!$B$8</f>
        <v>ASSEGNAZIONE Preventivo 2016 V2</v>
      </c>
      <c r="D1" s="277"/>
      <c r="E1" s="17"/>
      <c r="F1" s="17"/>
      <c r="G1" s="278"/>
      <c r="H1" s="278"/>
      <c r="I1" s="17"/>
      <c r="J1" s="17"/>
      <c r="K1" s="17"/>
    </row>
    <row r="2" spans="1:11" ht="15.75">
      <c r="A2" s="17"/>
      <c r="B2" s="17"/>
      <c r="C2" s="279"/>
      <c r="D2" s="280"/>
      <c r="E2" s="281"/>
      <c r="F2" s="281"/>
      <c r="G2" s="281"/>
      <c r="H2" s="281"/>
      <c r="I2" s="281"/>
      <c r="J2" s="17"/>
      <c r="K2" s="17"/>
    </row>
    <row r="3" spans="1:11" ht="24" thickBot="1">
      <c r="A3" s="17"/>
      <c r="B3" s="17"/>
      <c r="C3" s="282" t="str">
        <f>Info!$B$2</f>
        <v>702</v>
      </c>
      <c r="D3" s="297" t="str">
        <f>Info!$C$2</f>
        <v>ASST SANTI PAOLO E CARLO</v>
      </c>
      <c r="E3" s="283"/>
      <c r="F3" s="283"/>
      <c r="G3" s="283"/>
      <c r="H3" s="284" t="str">
        <f>Info!$B$2&amp;"_Scheda 1"</f>
        <v>702_Scheda 1</v>
      </c>
      <c r="I3" s="285"/>
      <c r="J3" s="17"/>
      <c r="K3" s="17"/>
    </row>
    <row r="4" spans="1:11" ht="15.75">
      <c r="A4" s="17"/>
      <c r="B4" s="17"/>
      <c r="C4" s="279"/>
      <c r="D4" s="280"/>
      <c r="E4" s="300">
        <v>4</v>
      </c>
      <c r="F4" s="300">
        <v>5</v>
      </c>
      <c r="G4" s="300"/>
      <c r="H4" s="300">
        <v>7</v>
      </c>
      <c r="I4" s="17"/>
      <c r="J4" s="17"/>
      <c r="K4" s="17"/>
    </row>
    <row r="5" spans="1:11" ht="31.5">
      <c r="A5" s="17"/>
      <c r="B5" s="17"/>
      <c r="C5" s="286"/>
      <c r="D5" s="287" t="s">
        <v>103</v>
      </c>
      <c r="E5" s="427" t="s">
        <v>104</v>
      </c>
      <c r="F5" s="428"/>
      <c r="G5" s="429"/>
      <c r="H5" s="421" t="s">
        <v>105</v>
      </c>
      <c r="I5" s="421" t="s">
        <v>106</v>
      </c>
      <c r="J5" s="17"/>
      <c r="K5" s="17"/>
    </row>
    <row r="6" spans="1:11" ht="38.25">
      <c r="A6" s="288"/>
      <c r="B6" s="289"/>
      <c r="C6" s="301"/>
      <c r="D6" s="302"/>
      <c r="E6" s="298" t="str">
        <f>"Preventivo "&amp;Info!$B$3&amp;" SANITARIO"</f>
        <v>Preventivo 2016 SANITARIO</v>
      </c>
      <c r="F6" s="298" t="str">
        <f>"Preventivo "&amp;Info!$B$3&amp;" TER"</f>
        <v>Preventivo 2016 TER</v>
      </c>
      <c r="G6" s="298" t="str">
        <f>"Preventivo "&amp;Info!$B$3&amp;" SAN + TER"</f>
        <v>Preventivo 2016 SAN + TER</v>
      </c>
      <c r="H6" s="298" t="str">
        <f>"Preventivo "&amp;Info!$B$3&amp;" AREU"</f>
        <v>Preventivo 2016 AREU</v>
      </c>
      <c r="I6" s="298" t="str">
        <f>"Preventivo "&amp;Info!$B$3&amp;" TOTALE"</f>
        <v>Preventivo 2016 TOTALE</v>
      </c>
      <c r="J6" s="17"/>
      <c r="K6" s="298" t="s">
        <v>107</v>
      </c>
    </row>
    <row r="7" spans="1:11" ht="15.75">
      <c r="A7" s="288"/>
      <c r="B7" s="289"/>
      <c r="C7" s="303" t="s">
        <v>108</v>
      </c>
      <c r="D7" s="311" t="s">
        <v>109</v>
      </c>
      <c r="E7" s="312"/>
      <c r="F7" s="312"/>
      <c r="G7" s="312"/>
      <c r="H7" s="312"/>
      <c r="I7" s="313"/>
      <c r="J7" s="17"/>
      <c r="K7" s="304"/>
    </row>
    <row r="8" spans="1:11" ht="15.75">
      <c r="A8" s="17"/>
      <c r="B8" s="17"/>
      <c r="C8" s="314"/>
      <c r="D8" s="315"/>
      <c r="E8" s="316"/>
      <c r="F8" s="316"/>
      <c r="G8" s="316"/>
      <c r="H8" s="316"/>
      <c r="I8" s="317"/>
      <c r="J8" s="17"/>
      <c r="K8" s="305"/>
    </row>
    <row r="9" spans="1:11" ht="15.75">
      <c r="A9" s="290" t="str">
        <f>+$C$3&amp;"_"&amp;B9&amp;"_"&amp;1</f>
        <v>702_A1TOT_1</v>
      </c>
      <c r="B9" s="17" t="s">
        <v>110</v>
      </c>
      <c r="C9" s="318" t="s">
        <v>111</v>
      </c>
      <c r="D9" s="319" t="s">
        <v>112</v>
      </c>
      <c r="E9" s="320">
        <f>SUM(E10:E13)</f>
        <v>100886.86000000007</v>
      </c>
      <c r="F9" s="395">
        <f>SUM(F10:F13)</f>
        <v>0</v>
      </c>
      <c r="G9" s="320">
        <f aca="true" t="shared" si="0" ref="G9:G15">+E9+F9</f>
        <v>100886.86000000007</v>
      </c>
      <c r="H9" s="320">
        <f>SUM(H10:H12)</f>
        <v>0</v>
      </c>
      <c r="I9" s="320">
        <f aca="true" t="shared" si="1" ref="I9:I15">+G9+H9</f>
        <v>100886.86000000007</v>
      </c>
      <c r="J9" s="17"/>
      <c r="K9" s="320">
        <f aca="true" t="shared" si="2" ref="K9:K15">+E9+H9-I9</f>
        <v>0</v>
      </c>
    </row>
    <row r="10" spans="1:11" ht="38.25">
      <c r="A10" s="290" t="str">
        <f>+$C$3&amp;"_"&amp;B10&amp;"_"&amp;1</f>
        <v>702_AOIR14_1</v>
      </c>
      <c r="B10" s="291" t="s">
        <v>113</v>
      </c>
      <c r="C10" s="322"/>
      <c r="D10" s="323" t="s">
        <v>114</v>
      </c>
      <c r="E10" s="299">
        <f>IF(ISERROR(VLOOKUP($A10,DECRETI!$A$1:$Z$500,E$4,FALSE)),0,VLOOKUP($A10,DECRETI!$A$1:$Z$500,E$4,FALSE))</f>
        <v>41293.31732379686</v>
      </c>
      <c r="F10" s="299">
        <f>IF(ISERROR(VLOOKUP($A10,DECRETI!$A$1:$Z$500,F$4,FALSE)),0,VLOOKUP($A10,DECRETI!$A$1:$Z$500,F$4,FALSE))</f>
        <v>0</v>
      </c>
      <c r="G10" s="299">
        <f t="shared" si="0"/>
        <v>41293.31732379686</v>
      </c>
      <c r="H10" s="299">
        <f>IF(ISERROR(VLOOKUP($A10,DECRETI!$A$1:$Z$500,H$4,FALSE)),0,VLOOKUP($A10,DECRETI!$A$1:$Z$500,H$4,FALSE))</f>
        <v>0</v>
      </c>
      <c r="I10" s="299">
        <f t="shared" si="1"/>
        <v>41293.31732379686</v>
      </c>
      <c r="J10" s="17"/>
      <c r="K10" s="299">
        <f t="shared" si="2"/>
        <v>0</v>
      </c>
    </row>
    <row r="11" spans="1:11" ht="15.75">
      <c r="A11" s="290" t="str">
        <f>+$C$3&amp;"_"&amp;B11&amp;"_"&amp;1</f>
        <v>702_AOIR02_1</v>
      </c>
      <c r="B11" s="291" t="s">
        <v>115</v>
      </c>
      <c r="C11" s="322"/>
      <c r="D11" s="324" t="s">
        <v>116</v>
      </c>
      <c r="E11" s="299">
        <f>IF(ISERROR(VLOOKUP($A11,DECRETI!$A$1:$Z$500,E$4,FALSE)),0,VLOOKUP($A11,DECRETI!$A$1:$Z$500,E$4,FALSE))</f>
        <v>26486.222353131903</v>
      </c>
      <c r="F11" s="299">
        <f>IF(ISERROR(VLOOKUP($A11,DECRETI!$A$1:$Z$500,F$4,FALSE)),0,VLOOKUP($A11,DECRETI!$A$1:$Z$500,F$4,FALSE))</f>
        <v>0</v>
      </c>
      <c r="G11" s="299">
        <f t="shared" si="0"/>
        <v>26486.222353131903</v>
      </c>
      <c r="H11" s="299">
        <f>IF(ISERROR(VLOOKUP($A11,DECRETI!$A$1:$Z$500,H$4,FALSE)),0,VLOOKUP($A11,DECRETI!$A$1:$Z$500,H$4,FALSE))</f>
        <v>0</v>
      </c>
      <c r="I11" s="299">
        <f t="shared" si="1"/>
        <v>26486.222353131903</v>
      </c>
      <c r="J11" s="17"/>
      <c r="K11" s="299">
        <f t="shared" si="2"/>
        <v>0</v>
      </c>
    </row>
    <row r="12" spans="1:11" ht="15.75">
      <c r="A12" s="290" t="str">
        <f>+$C$3&amp;"_"&amp;B12&amp;"_"&amp;1</f>
        <v>702_AOIR11_1</v>
      </c>
      <c r="B12" s="291" t="s">
        <v>117</v>
      </c>
      <c r="C12" s="322"/>
      <c r="D12" s="324" t="s">
        <v>118</v>
      </c>
      <c r="E12" s="299">
        <f>IF(ISERROR(VLOOKUP($A12,DECRETI!$A$1:$Z$500,E$4,FALSE)),0,VLOOKUP($A12,DECRETI!$A$1:$Z$500,E$4,FALSE))</f>
        <v>33107.32032307131</v>
      </c>
      <c r="F12" s="299">
        <f>IF(ISERROR(VLOOKUP($A12,DECRETI!$A$1:$Z$500,F$4,FALSE)),0,VLOOKUP($A12,DECRETI!$A$1:$Z$500,F$4,FALSE))</f>
        <v>0</v>
      </c>
      <c r="G12" s="299">
        <f t="shared" si="0"/>
        <v>33107.32032307131</v>
      </c>
      <c r="H12" s="299">
        <f>IF(ISERROR(VLOOKUP($A12,DECRETI!$A$1:$Z$500,H$4,FALSE)),0,VLOOKUP($A12,DECRETI!$A$1:$Z$500,H$4,FALSE))</f>
        <v>0</v>
      </c>
      <c r="I12" s="299">
        <f t="shared" si="1"/>
        <v>33107.32032307131</v>
      </c>
      <c r="J12" s="17"/>
      <c r="K12" s="299">
        <f t="shared" si="2"/>
        <v>0</v>
      </c>
    </row>
    <row r="13" spans="1:11" ht="25.5">
      <c r="A13" s="290" t="str">
        <f>+$C$3&amp;"_"&amp;B13&amp;"_"&amp;4</f>
        <v>702_AOIR11_4</v>
      </c>
      <c r="B13" s="291" t="s">
        <v>117</v>
      </c>
      <c r="C13" s="322"/>
      <c r="D13" s="412" t="s">
        <v>119</v>
      </c>
      <c r="E13" s="299">
        <f>IF(ISERROR(VLOOKUP($A13,DECRETI!$A$1:$Z$500,E$4,FALSE)),0,VLOOKUP($A13,DECRETI!$A$1:$Z$500,E$4,FALSE))</f>
        <v>0</v>
      </c>
      <c r="F13" s="299">
        <f>IF(ISERROR(VLOOKUP($A13,DECRETI!$A$1:$Z$500,F$4,FALSE)),0,VLOOKUP($A13,DECRETI!$A$1:$Z$500,F$4,FALSE))</f>
        <v>0</v>
      </c>
      <c r="G13" s="299">
        <f>+E13+F13</f>
        <v>0</v>
      </c>
      <c r="H13" s="299">
        <f>IF(ISERROR(VLOOKUP($A13,DECRETI!$A$1:$Z$500,H$4,FALSE)),0,VLOOKUP($A13,DECRETI!$A$1:$Z$500,H$4,FALSE))</f>
        <v>0</v>
      </c>
      <c r="I13" s="299">
        <f>+G13+H13</f>
        <v>0</v>
      </c>
      <c r="J13" s="17"/>
      <c r="K13" s="299"/>
    </row>
    <row r="14" spans="1:11" ht="15.75">
      <c r="A14" s="290" t="str">
        <f>+$C$3&amp;"_"&amp;B14&amp;"_"&amp;2</f>
        <v>702_AOIR11_2</v>
      </c>
      <c r="B14" s="291" t="s">
        <v>117</v>
      </c>
      <c r="C14" s="325" t="s">
        <v>120</v>
      </c>
      <c r="D14" s="326" t="s">
        <v>121</v>
      </c>
      <c r="E14" s="327">
        <f>IF(ISERROR(VLOOKUP($A14,DECRETI!$A$1:$Z$500,E$4,FALSE)),0,VLOOKUP($A14,DECRETI!$A$1:$Z$500,E$4,FALSE))</f>
        <v>0</v>
      </c>
      <c r="F14" s="328">
        <f>IF(ISERROR(VLOOKUP($A14,DECRETI!$A$1:$Z$500,F$4,FALSE)),0,VLOOKUP($A14,DECRETI!$A$1:$Z$500,F$4,FALSE))</f>
        <v>0</v>
      </c>
      <c r="G14" s="327">
        <f t="shared" si="0"/>
        <v>0</v>
      </c>
      <c r="H14" s="327">
        <f>IF(ISERROR(VLOOKUP($A14,DECRETI!$A$1:$Z$500,H$4,FALSE)),0,VLOOKUP($A14,DECRETI!$A$1:$Z$500,H$4,FALSE))</f>
        <v>0</v>
      </c>
      <c r="I14" s="327">
        <f t="shared" si="1"/>
        <v>0</v>
      </c>
      <c r="J14" s="17"/>
      <c r="K14" s="327">
        <f t="shared" si="2"/>
        <v>0</v>
      </c>
    </row>
    <row r="15" spans="1:11" ht="15.75">
      <c r="A15" s="290" t="str">
        <f>+$C$3&amp;"_"&amp;B15&amp;"_"&amp;3</f>
        <v>702_AOIR11_3</v>
      </c>
      <c r="B15" s="291" t="s">
        <v>117</v>
      </c>
      <c r="C15" s="329" t="s">
        <v>122</v>
      </c>
      <c r="D15" s="330" t="s">
        <v>123</v>
      </c>
      <c r="E15" s="331">
        <f>IF(ISERROR(VLOOKUP($A15,DECRETI!$A$1:$Z$500,E$4,FALSE)),0,VLOOKUP($A15,DECRETI!$A$1:$Z$500,E$4,FALSE))</f>
        <v>0</v>
      </c>
      <c r="F15" s="332">
        <f>IF(ISERROR(VLOOKUP($A15,DECRETI!$A$1:$Z$500,F$4,FALSE)),0,VLOOKUP($A15,DECRETI!$A$1:$Z$500,F$4,FALSE))</f>
        <v>0</v>
      </c>
      <c r="G15" s="331">
        <f t="shared" si="0"/>
        <v>0</v>
      </c>
      <c r="H15" s="331">
        <f>IF(ISERROR(VLOOKUP($A15,DECRETI!$A$1:$Z$500,H$4,FALSE)),0,VLOOKUP($A15,DECRETI!$A$1:$Z$500,H$4,FALSE))</f>
        <v>0</v>
      </c>
      <c r="I15" s="331">
        <f t="shared" si="1"/>
        <v>0</v>
      </c>
      <c r="J15" s="17"/>
      <c r="K15" s="331">
        <f t="shared" si="2"/>
        <v>0</v>
      </c>
    </row>
    <row r="16" spans="1:11" ht="15.75">
      <c r="A16" s="17"/>
      <c r="B16" s="17"/>
      <c r="C16" s="314"/>
      <c r="D16" s="315"/>
      <c r="E16" s="316"/>
      <c r="F16" s="316"/>
      <c r="G16" s="316"/>
      <c r="H16" s="316"/>
      <c r="I16" s="317"/>
      <c r="J16" s="17"/>
      <c r="K16" s="306"/>
    </row>
    <row r="17" spans="1:11" ht="15.75">
      <c r="A17" s="288"/>
      <c r="B17" s="289"/>
      <c r="C17" s="303" t="s">
        <v>124</v>
      </c>
      <c r="D17" s="311" t="s">
        <v>125</v>
      </c>
      <c r="E17" s="312"/>
      <c r="F17" s="312"/>
      <c r="G17" s="312"/>
      <c r="H17" s="312"/>
      <c r="I17" s="313"/>
      <c r="J17" s="17"/>
      <c r="K17" s="304"/>
    </row>
    <row r="18" spans="1:11" ht="15.75">
      <c r="A18" s="17"/>
      <c r="B18" s="17"/>
      <c r="C18" s="314"/>
      <c r="D18" s="315"/>
      <c r="E18" s="316"/>
      <c r="F18" s="316"/>
      <c r="G18" s="316"/>
      <c r="H18" s="316"/>
      <c r="I18" s="317"/>
      <c r="J18" s="17"/>
      <c r="K18" s="305"/>
    </row>
    <row r="19" spans="1:11" ht="15.75">
      <c r="A19" s="290" t="str">
        <f>+$C$3&amp;"_"&amp;B19&amp;"_"&amp;1</f>
        <v>702_AOIR12_1</v>
      </c>
      <c r="B19" s="291" t="s">
        <v>126</v>
      </c>
      <c r="C19" s="318" t="s">
        <v>127</v>
      </c>
      <c r="D19" s="333" t="s">
        <v>128</v>
      </c>
      <c r="E19" s="320">
        <f>IF(ISERROR(VLOOKUP($A19,DECRETI!$A$1:$Z$500,E$4,FALSE)),0,VLOOKUP($A19,DECRETI!$A$1:$Z$500,E$4,FALSE))</f>
        <v>0</v>
      </c>
      <c r="F19" s="321">
        <f>IF(ISERROR(VLOOKUP($A19,DECRETI!$A$1:$Z$500,F$4,FALSE)),0,VLOOKUP($A19,DECRETI!$A$1:$Z$500,F$4,FALSE))</f>
        <v>0</v>
      </c>
      <c r="G19" s="320">
        <f>+E19+F19</f>
        <v>0</v>
      </c>
      <c r="H19" s="320">
        <f>IF(ISERROR(VLOOKUP($A19,DECRETI!$A$1:$Z$500,H$4,FALSE)),0,VLOOKUP($A19,DECRETI!$A$1:$Z$500,H$4,FALSE))</f>
        <v>1313</v>
      </c>
      <c r="I19" s="320">
        <f>+G19+H19</f>
        <v>1313</v>
      </c>
      <c r="J19" s="17"/>
      <c r="K19" s="320">
        <f>+E19+H19-I19</f>
        <v>0</v>
      </c>
    </row>
    <row r="20" spans="1:11" ht="15.75">
      <c r="A20" s="290" t="str">
        <f>+$C$3&amp;"_"&amp;B20&amp;"_"&amp;1</f>
        <v>702_AOIR06_1</v>
      </c>
      <c r="B20" s="291" t="s">
        <v>129</v>
      </c>
      <c r="C20" s="325" t="s">
        <v>130</v>
      </c>
      <c r="D20" s="334" t="s">
        <v>131</v>
      </c>
      <c r="E20" s="327">
        <f>IF(ISERROR(VLOOKUP($A20,DECRETI!$A$1:$Z$500,E$4,FALSE)),0,VLOOKUP($A20,DECRETI!$A$1:$Z$500,E$4,FALSE))</f>
        <v>9756</v>
      </c>
      <c r="F20" s="328">
        <f>IF(ISERROR(VLOOKUP($A20,DECRETI!$A$1:$Z$500,F$4,FALSE)),0,VLOOKUP($A20,DECRETI!$A$1:$Z$500,F$4,FALSE))</f>
        <v>0</v>
      </c>
      <c r="G20" s="327">
        <f>+E20+F20</f>
        <v>9756</v>
      </c>
      <c r="H20" s="327">
        <f>IF(ISERROR(VLOOKUP($A20,DECRETI!$A$1:$Z$500,H$4,FALSE)),0,VLOOKUP($A20,DECRETI!$A$1:$Z$500,H$4,FALSE))</f>
        <v>0</v>
      </c>
      <c r="I20" s="327">
        <f>+G20+H20</f>
        <v>9756</v>
      </c>
      <c r="J20" s="17"/>
      <c r="K20" s="327">
        <f>+E20+H20-I20</f>
        <v>0</v>
      </c>
    </row>
    <row r="21" spans="1:11" ht="15.75">
      <c r="A21" s="290" t="str">
        <f>+$C$3&amp;"_"&amp;B21&amp;"_"&amp;1</f>
        <v>702_AOIR13_1</v>
      </c>
      <c r="B21" s="291" t="s">
        <v>132</v>
      </c>
      <c r="C21" s="325" t="s">
        <v>133</v>
      </c>
      <c r="D21" s="334" t="s">
        <v>134</v>
      </c>
      <c r="E21" s="327">
        <f>IF(ISERROR(VLOOKUP($A21,DECRETI!$A$1:$Z$500,E$4,FALSE)),0,VLOOKUP($A21,DECRETI!$A$1:$Z$500,E$4,FALSE))</f>
        <v>0</v>
      </c>
      <c r="F21" s="328">
        <f>IF(ISERROR(VLOOKUP($A21,DECRETI!$A$1:$Z$500,F$4,FALSE)),0,VLOOKUP($A21,DECRETI!$A$1:$Z$500,F$4,FALSE))</f>
        <v>0</v>
      </c>
      <c r="G21" s="327">
        <f>+E21+F21</f>
        <v>0</v>
      </c>
      <c r="H21" s="327">
        <f>IF(ISERROR(VLOOKUP($A21,DECRETI!$A$1:$Z$500,H$4,FALSE)),0,VLOOKUP($A21,DECRETI!$A$1:$Z$500,H$4,FALSE))</f>
        <v>0</v>
      </c>
      <c r="I21" s="327">
        <f>+G21+H21</f>
        <v>0</v>
      </c>
      <c r="J21" s="17"/>
      <c r="K21" s="327">
        <f>+E21+H21-I21</f>
        <v>0</v>
      </c>
    </row>
    <row r="22" spans="1:11" ht="15.75">
      <c r="A22" s="290" t="str">
        <f>+$C$3&amp;"_"&amp;B22&amp;"_"&amp;1</f>
        <v>702_AOIR10_1</v>
      </c>
      <c r="B22" s="291" t="s">
        <v>135</v>
      </c>
      <c r="C22" s="329" t="s">
        <v>136</v>
      </c>
      <c r="D22" s="335" t="s">
        <v>137</v>
      </c>
      <c r="E22" s="331">
        <f>IF(ISERROR(VLOOKUP($A22,DECRETI!$A$1:$Z$500,E$4,FALSE)),0,VLOOKUP($A22,DECRETI!$A$1:$Z$500,E$4,FALSE))</f>
        <v>0</v>
      </c>
      <c r="F22" s="332">
        <f>IF(ISERROR(VLOOKUP($A22,DECRETI!$A$1:$Z$500,F$4,FALSE)),0,VLOOKUP($A22,DECRETI!$A$1:$Z$500,F$4,FALSE))</f>
        <v>0</v>
      </c>
      <c r="G22" s="331">
        <f>+E22+F22</f>
        <v>0</v>
      </c>
      <c r="H22" s="331">
        <f>IF(ISERROR(VLOOKUP($A22,DECRETI!$A$1:$Z$500,H$4,FALSE)),0,VLOOKUP($A22,DECRETI!$A$1:$Z$500,H$4,FALSE))</f>
        <v>0</v>
      </c>
      <c r="I22" s="331">
        <f>+G22+H22</f>
        <v>0</v>
      </c>
      <c r="J22" s="17"/>
      <c r="K22" s="331">
        <f>+E22+H22-I22</f>
        <v>0</v>
      </c>
    </row>
    <row r="23" spans="1:11" ht="15.75">
      <c r="A23" s="17"/>
      <c r="B23" s="17"/>
      <c r="C23" s="314"/>
      <c r="D23" s="315"/>
      <c r="E23" s="316"/>
      <c r="F23" s="316"/>
      <c r="G23" s="316"/>
      <c r="H23" s="316"/>
      <c r="I23" s="317"/>
      <c r="J23" s="17"/>
      <c r="K23" s="306"/>
    </row>
    <row r="24" spans="1:11" ht="15.75">
      <c r="A24" s="288"/>
      <c r="B24" s="289"/>
      <c r="C24" s="303" t="s">
        <v>138</v>
      </c>
      <c r="D24" s="311" t="s">
        <v>139</v>
      </c>
      <c r="E24" s="395">
        <f>E26+E32+E38+E39+E40+E45</f>
        <v>254473.60000000003</v>
      </c>
      <c r="F24" s="312"/>
      <c r="G24" s="312"/>
      <c r="H24" s="312"/>
      <c r="I24" s="313"/>
      <c r="J24" s="17"/>
      <c r="K24" s="304"/>
    </row>
    <row r="25" spans="1:11" ht="15.75">
      <c r="A25" s="17"/>
      <c r="B25" s="17"/>
      <c r="C25" s="314"/>
      <c r="D25" s="315"/>
      <c r="E25" s="316"/>
      <c r="F25" s="316"/>
      <c r="G25" s="316"/>
      <c r="H25" s="316"/>
      <c r="I25" s="317"/>
      <c r="J25" s="17"/>
      <c r="K25" s="305"/>
    </row>
    <row r="26" spans="1:11" ht="15.75">
      <c r="A26" s="290" t="str">
        <f>+$C$3&amp;"_"&amp;B26&amp;"_"&amp;1</f>
        <v>702_C8TOT_1</v>
      </c>
      <c r="B26" s="17" t="s">
        <v>140</v>
      </c>
      <c r="C26" s="318" t="s">
        <v>141</v>
      </c>
      <c r="D26" s="333" t="s">
        <v>142</v>
      </c>
      <c r="E26" s="320">
        <f>SUM(E27:E31)</f>
        <v>146048.00000000003</v>
      </c>
      <c r="F26" s="321">
        <f>SUM(F27:F31)</f>
        <v>0</v>
      </c>
      <c r="G26" s="320">
        <f aca="true" t="shared" si="3" ref="G26:G51">+E26+F26</f>
        <v>146048.00000000003</v>
      </c>
      <c r="H26" s="320">
        <f>SUM(H27:H31)</f>
        <v>0</v>
      </c>
      <c r="I26" s="320">
        <f aca="true" t="shared" si="4" ref="I26:I39">+G26+H26</f>
        <v>146048.00000000003</v>
      </c>
      <c r="J26" s="17"/>
      <c r="K26" s="320">
        <f aca="true" t="shared" si="5" ref="K26:K32">+E26+H26-I26</f>
        <v>0</v>
      </c>
    </row>
    <row r="27" spans="1:11" ht="15.75">
      <c r="A27" s="290" t="str">
        <f>+$C$3&amp;"_"&amp;B27&amp;"_"&amp;1</f>
        <v>702_AOIR01_1</v>
      </c>
      <c r="B27" s="291" t="s">
        <v>143</v>
      </c>
      <c r="C27" s="325"/>
      <c r="D27" s="336" t="s">
        <v>144</v>
      </c>
      <c r="E27" s="299">
        <f>IF(ISERROR(VLOOKUP($A27,DECRETI!$A$1:$Z$500,E$4,FALSE)),0,VLOOKUP($A27,DECRETI!$A$1:$Z$500,E$4,FALSE))</f>
        <v>125862.20000000001</v>
      </c>
      <c r="F27" s="299">
        <f>IF(ISERROR(VLOOKUP($A27,DECRETI!$A$1:$Z$500,F$4,FALSE)),0,VLOOKUP($A27,DECRETI!$A$1:$Z$500,F$4,FALSE))</f>
        <v>0</v>
      </c>
      <c r="G27" s="299">
        <f t="shared" si="3"/>
        <v>125862.20000000001</v>
      </c>
      <c r="H27" s="299">
        <f>IF(ISERROR(VLOOKUP($A27,DECRETI!$A$1:$Z$500,H$4,FALSE)),0,VLOOKUP($A27,DECRETI!$A$1:$Z$500,H$4,FALSE))</f>
        <v>0</v>
      </c>
      <c r="I27" s="299">
        <f t="shared" si="4"/>
        <v>125862.20000000001</v>
      </c>
      <c r="J27" s="17"/>
      <c r="K27" s="299">
        <f t="shared" si="5"/>
        <v>0</v>
      </c>
    </row>
    <row r="28" spans="1:11" ht="15.75">
      <c r="A28" s="290" t="str">
        <f>+$C$3&amp;"_"&amp;B28&amp;"_"&amp;5</f>
        <v>702_AOIR01_5</v>
      </c>
      <c r="B28" s="291" t="s">
        <v>143</v>
      </c>
      <c r="C28" s="325"/>
      <c r="D28" s="336" t="s">
        <v>145</v>
      </c>
      <c r="E28" s="299">
        <f>IF(ISERROR(VLOOKUP($A28,DECRETI!$A$1:$Z$500,E$4,FALSE)),0,VLOOKUP($A28,DECRETI!$A$1:$Z$500,E$4,FALSE))</f>
        <v>13395.2</v>
      </c>
      <c r="F28" s="299">
        <f>IF(ISERROR(VLOOKUP($A28,DECRETI!$A$1:$Z$500,F$4,FALSE)),0,VLOOKUP($A28,DECRETI!$A$1:$Z$500,F$4,FALSE))</f>
        <v>0</v>
      </c>
      <c r="G28" s="299">
        <f t="shared" si="3"/>
        <v>13395.2</v>
      </c>
      <c r="H28" s="299">
        <f>IF(ISERROR(VLOOKUP($A28,DECRETI!$A$1:$Z$500,H$4,FALSE)),0,VLOOKUP($A28,DECRETI!$A$1:$Z$500,H$4,FALSE))</f>
        <v>0</v>
      </c>
      <c r="I28" s="299">
        <f t="shared" si="4"/>
        <v>13395.2</v>
      </c>
      <c r="J28" s="17"/>
      <c r="K28" s="299">
        <f t="shared" si="5"/>
        <v>0</v>
      </c>
    </row>
    <row r="29" spans="1:11" ht="15.75">
      <c r="A29" s="290" t="str">
        <f>+$C$3&amp;"_"&amp;B29&amp;"_"&amp;2</f>
        <v>702_AOIR01_2</v>
      </c>
      <c r="B29" s="291" t="s">
        <v>143</v>
      </c>
      <c r="C29" s="325"/>
      <c r="D29" s="336" t="s">
        <v>146</v>
      </c>
      <c r="E29" s="299">
        <f>IF(ISERROR(VLOOKUP($A29,DECRETI!$A$1:$Z$500,E$4,FALSE)),0,VLOOKUP($A29,DECRETI!$A$1:$Z$500,E$4,FALSE))</f>
        <v>5762.9</v>
      </c>
      <c r="F29" s="299">
        <f>IF(ISERROR(VLOOKUP($A29,DECRETI!$A$1:$Z$500,F$4,FALSE)),0,VLOOKUP($A29,DECRETI!$A$1:$Z$500,F$4,FALSE))</f>
        <v>0</v>
      </c>
      <c r="G29" s="299">
        <f t="shared" si="3"/>
        <v>5762.9</v>
      </c>
      <c r="H29" s="299">
        <f>IF(ISERROR(VLOOKUP($A29,DECRETI!$A$1:$Z$500,H$4,FALSE)),0,VLOOKUP($A29,DECRETI!$A$1:$Z$500,H$4,FALSE))</f>
        <v>0</v>
      </c>
      <c r="I29" s="299">
        <f t="shared" si="4"/>
        <v>5762.9</v>
      </c>
      <c r="J29" s="17"/>
      <c r="K29" s="299">
        <f t="shared" si="5"/>
        <v>0</v>
      </c>
    </row>
    <row r="30" spans="1:11" ht="15.75">
      <c r="A30" s="290" t="str">
        <f>+$C$3&amp;"_"&amp;B30&amp;"_"&amp;3</f>
        <v>702_AOIR01_3</v>
      </c>
      <c r="B30" s="291" t="s">
        <v>143</v>
      </c>
      <c r="C30" s="325"/>
      <c r="D30" s="336" t="s">
        <v>147</v>
      </c>
      <c r="E30" s="299">
        <f>IF(ISERROR(VLOOKUP($A30,DECRETI!$A$1:$Z$500,E$4,FALSE)),0,VLOOKUP($A30,DECRETI!$A$1:$Z$500,E$4,FALSE))</f>
        <v>261.6</v>
      </c>
      <c r="F30" s="299">
        <f>IF(ISERROR(VLOOKUP($A30,DECRETI!$A$1:$Z$500,F$4,FALSE)),0,VLOOKUP($A30,DECRETI!$A$1:$Z$500,F$4,FALSE))</f>
        <v>0</v>
      </c>
      <c r="G30" s="299">
        <f t="shared" si="3"/>
        <v>261.6</v>
      </c>
      <c r="H30" s="299">
        <f>IF(ISERROR(VLOOKUP($A30,DECRETI!$A$1:$Z$500,H$4,FALSE)),0,VLOOKUP($A30,DECRETI!$A$1:$Z$500,H$4,FALSE))</f>
        <v>0</v>
      </c>
      <c r="I30" s="299">
        <f t="shared" si="4"/>
        <v>261.6</v>
      </c>
      <c r="J30" s="17"/>
      <c r="K30" s="299">
        <f t="shared" si="5"/>
        <v>0</v>
      </c>
    </row>
    <row r="31" spans="1:11" ht="15.75">
      <c r="A31" s="290" t="str">
        <f>+$C$3&amp;"_"&amp;B31&amp;"_"&amp;4</f>
        <v>702_AOIR01_4</v>
      </c>
      <c r="B31" s="291" t="s">
        <v>143</v>
      </c>
      <c r="C31" s="322"/>
      <c r="D31" s="336" t="s">
        <v>148</v>
      </c>
      <c r="E31" s="299">
        <f>IF(ISERROR(VLOOKUP($A31,DECRETI!$A$1:$Z$500,E$4,FALSE)),0,VLOOKUP($A31,DECRETI!$A$1:$Z$500,E$4,FALSE))</f>
        <v>766.1</v>
      </c>
      <c r="F31" s="299">
        <f>IF(ISERROR(VLOOKUP($A31,DECRETI!$A$1:$Z$500,F$4,FALSE)),0,VLOOKUP($A31,DECRETI!$A$1:$Z$500,F$4,FALSE))</f>
        <v>0</v>
      </c>
      <c r="G31" s="299">
        <f t="shared" si="3"/>
        <v>766.1</v>
      </c>
      <c r="H31" s="299">
        <f>IF(ISERROR(VLOOKUP($A31,DECRETI!$A$1:$Z$500,H$4,FALSE)),0,VLOOKUP($A31,DECRETI!$A$1:$Z$500,H$4,FALSE))</f>
        <v>0</v>
      </c>
      <c r="I31" s="299">
        <f t="shared" si="4"/>
        <v>766.1</v>
      </c>
      <c r="J31" s="17"/>
      <c r="K31" s="299">
        <f t="shared" si="5"/>
        <v>0</v>
      </c>
    </row>
    <row r="32" spans="1:11" ht="15.75">
      <c r="A32" s="290" t="str">
        <f>+$C$3&amp;"_"&amp;B32&amp;"_"&amp;1</f>
        <v>702_C9TOT_1</v>
      </c>
      <c r="B32" s="17" t="s">
        <v>149</v>
      </c>
      <c r="C32" s="325" t="s">
        <v>150</v>
      </c>
      <c r="D32" s="326" t="s">
        <v>151</v>
      </c>
      <c r="E32" s="327">
        <f>SUM(E33:E37)</f>
        <v>50749.49999999999</v>
      </c>
      <c r="F32" s="328">
        <f>SUM(F33:F37)</f>
        <v>0</v>
      </c>
      <c r="G32" s="327">
        <f t="shared" si="3"/>
        <v>50749.49999999999</v>
      </c>
      <c r="H32" s="327">
        <f>SUM(H33:H37)</f>
        <v>0</v>
      </c>
      <c r="I32" s="327">
        <f t="shared" si="4"/>
        <v>50749.49999999999</v>
      </c>
      <c r="J32" s="17"/>
      <c r="K32" s="327">
        <f t="shared" si="5"/>
        <v>0</v>
      </c>
    </row>
    <row r="33" spans="1:11" ht="15.75">
      <c r="A33" s="290" t="str">
        <f>+$C$3&amp;"_"&amp;B33&amp;"_"&amp;1</f>
        <v>702_AOIR03_1</v>
      </c>
      <c r="B33" s="291" t="s">
        <v>152</v>
      </c>
      <c r="C33" s="325"/>
      <c r="D33" s="336" t="s">
        <v>153</v>
      </c>
      <c r="E33" s="299">
        <f>IF(ISERROR(VLOOKUP($A33,DECRETI!$A$1:$Z$500,E$4,FALSE)),0,VLOOKUP($A33,DECRETI!$A$1:$Z$500,E$4,FALSE))</f>
        <v>49184.799999999996</v>
      </c>
      <c r="F33" s="299">
        <f>IF(ISERROR(VLOOKUP($A33,DECRETI!$A$1:$Z$500,F$4,FALSE)),0,VLOOKUP($A33,DECRETI!$A$1:$Z$500,F$4,FALSE))</f>
        <v>0</v>
      </c>
      <c r="G33" s="299">
        <f t="shared" si="3"/>
        <v>49184.799999999996</v>
      </c>
      <c r="H33" s="299">
        <f>IF(ISERROR(VLOOKUP($A33,DECRETI!$A$1:$Z$500,H$4,FALSE)),0,VLOOKUP($A33,DECRETI!$A$1:$Z$500,H$4,FALSE))</f>
        <v>0</v>
      </c>
      <c r="I33" s="299">
        <f t="shared" si="4"/>
        <v>49184.799999999996</v>
      </c>
      <c r="J33" s="17"/>
      <c r="K33" s="299">
        <f aca="true" t="shared" si="6" ref="K33:K39">+E33+H33-I33</f>
        <v>0</v>
      </c>
    </row>
    <row r="34" spans="1:11" ht="15.75">
      <c r="A34" s="290" t="str">
        <f>+$C$3&amp;"_"&amp;B34&amp;"_"&amp;1</f>
        <v>702_AOIR05_1</v>
      </c>
      <c r="B34" s="291" t="s">
        <v>154</v>
      </c>
      <c r="C34" s="325"/>
      <c r="D34" s="336" t="s">
        <v>155</v>
      </c>
      <c r="E34" s="299">
        <f>IF(ISERROR(VLOOKUP($A34,DECRETI!$A$1:$Z$500,E$4,FALSE)),0,VLOOKUP($A34,DECRETI!$A$1:$Z$500,E$4,FALSE))</f>
        <v>0</v>
      </c>
      <c r="F34" s="299">
        <f>IF(ISERROR(VLOOKUP($A34,DECRETI!$A$1:$Z$500,F$4,FALSE)),0,VLOOKUP($A34,DECRETI!$A$1:$Z$500,F$4,FALSE))</f>
        <v>0</v>
      </c>
      <c r="G34" s="299">
        <f t="shared" si="3"/>
        <v>0</v>
      </c>
      <c r="H34" s="299">
        <f>IF(ISERROR(VLOOKUP($A34,DECRETI!$A$1:$Z$500,H$4,FALSE)),0,VLOOKUP($A34,DECRETI!$A$1:$Z$500,H$4,FALSE))</f>
        <v>0</v>
      </c>
      <c r="I34" s="299">
        <f t="shared" si="4"/>
        <v>0</v>
      </c>
      <c r="J34" s="17"/>
      <c r="K34" s="299">
        <f t="shared" si="6"/>
        <v>0</v>
      </c>
    </row>
    <row r="35" spans="1:11" ht="15.75">
      <c r="A35" s="290" t="str">
        <f>+$C$3&amp;"_"&amp;B35&amp;"_"&amp;2</f>
        <v>702_AOIR03_2</v>
      </c>
      <c r="B35" s="291" t="s">
        <v>152</v>
      </c>
      <c r="C35" s="325"/>
      <c r="D35" s="336" t="s">
        <v>146</v>
      </c>
      <c r="E35" s="299">
        <f>IF(ISERROR(VLOOKUP($A35,DECRETI!$A$1:$Z$500,E$4,FALSE)),0,VLOOKUP($A35,DECRETI!$A$1:$Z$500,E$4,FALSE))</f>
        <v>1266</v>
      </c>
      <c r="F35" s="299">
        <f>IF(ISERROR(VLOOKUP($A35,DECRETI!$A$1:$Z$500,F$4,FALSE)),0,VLOOKUP($A35,DECRETI!$A$1:$Z$500,F$4,FALSE))</f>
        <v>0</v>
      </c>
      <c r="G35" s="299">
        <f t="shared" si="3"/>
        <v>1266</v>
      </c>
      <c r="H35" s="299">
        <f>IF(ISERROR(VLOOKUP($A35,DECRETI!$A$1:$Z$500,H$4,FALSE)),0,VLOOKUP($A35,DECRETI!$A$1:$Z$500,H$4,FALSE))</f>
        <v>0</v>
      </c>
      <c r="I35" s="299">
        <f t="shared" si="4"/>
        <v>1266</v>
      </c>
      <c r="J35" s="17"/>
      <c r="K35" s="299">
        <f t="shared" si="6"/>
        <v>0</v>
      </c>
    </row>
    <row r="36" spans="1:11" ht="15.75">
      <c r="A36" s="290" t="str">
        <f>+$C$3&amp;"_"&amp;B36&amp;"_"&amp;3</f>
        <v>702_AOIR03_3</v>
      </c>
      <c r="B36" s="291" t="s">
        <v>152</v>
      </c>
      <c r="C36" s="325"/>
      <c r="D36" s="336" t="s">
        <v>147</v>
      </c>
      <c r="E36" s="299">
        <f>IF(ISERROR(VLOOKUP($A36,DECRETI!$A$1:$Z$500,E$4,FALSE)),0,VLOOKUP($A36,DECRETI!$A$1:$Z$500,E$4,FALSE))</f>
        <v>14.2</v>
      </c>
      <c r="F36" s="299">
        <f>IF(ISERROR(VLOOKUP($A36,DECRETI!$A$1:$Z$500,F$4,FALSE)),0,VLOOKUP($A36,DECRETI!$A$1:$Z$500,F$4,FALSE))</f>
        <v>0</v>
      </c>
      <c r="G36" s="299">
        <f t="shared" si="3"/>
        <v>14.2</v>
      </c>
      <c r="H36" s="299">
        <f>IF(ISERROR(VLOOKUP($A36,DECRETI!$A$1:$Z$500,H$4,FALSE)),0,VLOOKUP($A36,DECRETI!$A$1:$Z$500,H$4,FALSE))</f>
        <v>0</v>
      </c>
      <c r="I36" s="299">
        <f t="shared" si="4"/>
        <v>14.2</v>
      </c>
      <c r="J36" s="17"/>
      <c r="K36" s="299">
        <f t="shared" si="6"/>
        <v>0</v>
      </c>
    </row>
    <row r="37" spans="1:11" ht="15.75">
      <c r="A37" s="290" t="str">
        <f>+$C$3&amp;"_"&amp;B37&amp;"_"&amp;4</f>
        <v>702_AOIR03_4</v>
      </c>
      <c r="B37" s="291" t="s">
        <v>152</v>
      </c>
      <c r="C37" s="322"/>
      <c r="D37" s="336" t="s">
        <v>156</v>
      </c>
      <c r="E37" s="299">
        <f>IF(ISERROR(VLOOKUP($A37,DECRETI!$A$1:$Z$500,E$4,FALSE)),0,VLOOKUP($A37,DECRETI!$A$1:$Z$500,E$4,FALSE))</f>
        <v>284.5</v>
      </c>
      <c r="F37" s="299">
        <f>IF(ISERROR(VLOOKUP($A37,DECRETI!$A$1:$Z$500,F$4,FALSE)),0,VLOOKUP($A37,DECRETI!$A$1:$Z$500,F$4,FALSE))</f>
        <v>0</v>
      </c>
      <c r="G37" s="299">
        <f t="shared" si="3"/>
        <v>284.5</v>
      </c>
      <c r="H37" s="299">
        <f>IF(ISERROR(VLOOKUP($A37,DECRETI!$A$1:$Z$500,H$4,FALSE)),0,VLOOKUP($A37,DECRETI!$A$1:$Z$500,H$4,FALSE))</f>
        <v>0</v>
      </c>
      <c r="I37" s="299">
        <f t="shared" si="4"/>
        <v>284.5</v>
      </c>
      <c r="J37" s="17"/>
      <c r="K37" s="299">
        <f t="shared" si="6"/>
        <v>0</v>
      </c>
    </row>
    <row r="38" spans="1:11" ht="15.75">
      <c r="A38" s="290" t="str">
        <f>+$C$3&amp;"_"&amp;B38&amp;"_"&amp;1</f>
        <v>702_AOIR04_1</v>
      </c>
      <c r="B38" s="291" t="s">
        <v>157</v>
      </c>
      <c r="C38" s="337" t="s">
        <v>158</v>
      </c>
      <c r="D38" s="326" t="s">
        <v>159</v>
      </c>
      <c r="E38" s="327">
        <f>IF(ISERROR(VLOOKUP($A38,DECRETI!$A$1:$Z$500,E$4,FALSE)),0,VLOOKUP($A38,DECRETI!$A$1:$Z$500,E$4,FALSE))</f>
        <v>3045.1000000000004</v>
      </c>
      <c r="F38" s="328">
        <f>IF(ISERROR(VLOOKUP($A38,DECRETI!$A$1:$Z$500,F$4,FALSE)),0,VLOOKUP($A38,DECRETI!$A$1:$Z$500,F$4,FALSE))</f>
        <v>0</v>
      </c>
      <c r="G38" s="327">
        <f t="shared" si="3"/>
        <v>3045.1000000000004</v>
      </c>
      <c r="H38" s="327">
        <f>IF(ISERROR(VLOOKUP($A38,DECRETI!$A$1:$Z$500,H$4,FALSE)),0,VLOOKUP($A38,DECRETI!$A$1:$Z$500,H$4,FALSE))</f>
        <v>0</v>
      </c>
      <c r="I38" s="327">
        <f t="shared" si="4"/>
        <v>3045.1000000000004</v>
      </c>
      <c r="J38" s="17"/>
      <c r="K38" s="327">
        <f t="shared" si="6"/>
        <v>0</v>
      </c>
    </row>
    <row r="39" spans="1:11" ht="15.75">
      <c r="A39" s="290" t="str">
        <f>+$C$3&amp;"_"&amp;B39&amp;"_"&amp;1</f>
        <v>702_AOIR08_1</v>
      </c>
      <c r="B39" s="291" t="s">
        <v>160</v>
      </c>
      <c r="C39" s="337" t="s">
        <v>161</v>
      </c>
      <c r="D39" s="326" t="s">
        <v>162</v>
      </c>
      <c r="E39" s="327">
        <f>IF(ISERROR(VLOOKUP($A39,DECRETI!$A$1:$Z$500,E$4,FALSE)),0,VLOOKUP($A39,DECRETI!$A$1:$Z$500,E$4,FALSE))</f>
        <v>9516</v>
      </c>
      <c r="F39" s="328">
        <f>IF(ISERROR(VLOOKUP($A39,DECRETI!$A$1:$Z$500,F$4,FALSE)),0,VLOOKUP($A39,DECRETI!$A$1:$Z$500,F$4,FALSE))</f>
        <v>0</v>
      </c>
      <c r="G39" s="327">
        <f t="shared" si="3"/>
        <v>9516</v>
      </c>
      <c r="H39" s="327">
        <f>IF(ISERROR(VLOOKUP($A39,DECRETI!$A$1:$Z$500,H$4,FALSE)),0,VLOOKUP($A39,DECRETI!$A$1:$Z$500,H$4,FALSE))</f>
        <v>0</v>
      </c>
      <c r="I39" s="327">
        <f t="shared" si="4"/>
        <v>9516</v>
      </c>
      <c r="J39" s="17"/>
      <c r="K39" s="327">
        <f t="shared" si="6"/>
        <v>0</v>
      </c>
    </row>
    <row r="40" spans="1:11" ht="15.75">
      <c r="A40" s="290" t="str">
        <f>+$C$3&amp;"_"&amp;B40&amp;"_"&amp;1</f>
        <v>702_C12TOT_1</v>
      </c>
      <c r="B40" s="17" t="s">
        <v>163</v>
      </c>
      <c r="C40" s="325" t="s">
        <v>164</v>
      </c>
      <c r="D40" s="326" t="s">
        <v>165</v>
      </c>
      <c r="E40" s="327">
        <f>SUM(E41:E44)</f>
        <v>41273.399999999994</v>
      </c>
      <c r="F40" s="328">
        <f>SUM(F41:F44)</f>
        <v>0</v>
      </c>
      <c r="G40" s="327">
        <f t="shared" si="3"/>
        <v>41273.399999999994</v>
      </c>
      <c r="H40" s="327">
        <f>SUM(H41:H44)</f>
        <v>0</v>
      </c>
      <c r="I40" s="327">
        <f aca="true" t="shared" si="7" ref="I40:I51">+G40+H40</f>
        <v>41273.399999999994</v>
      </c>
      <c r="J40" s="17"/>
      <c r="K40" s="327">
        <f aca="true" t="shared" si="8" ref="K40:K45">+E40+H40-I40</f>
        <v>0</v>
      </c>
    </row>
    <row r="41" spans="1:11" ht="15.75">
      <c r="A41" s="290" t="str">
        <f>+$C$3&amp;"_"&amp;B41&amp;"_"&amp;1</f>
        <v>702_AOIR09_1</v>
      </c>
      <c r="B41" s="291" t="s">
        <v>166</v>
      </c>
      <c r="C41" s="325"/>
      <c r="D41" s="336" t="s">
        <v>167</v>
      </c>
      <c r="E41" s="299">
        <f>IF(ISERROR(VLOOKUP($A41,DECRETI!$A$1:$Z$500,E$4,FALSE)),0,VLOOKUP($A41,DECRETI!$A$1:$Z$500,E$4,FALSE))</f>
        <v>21922.2</v>
      </c>
      <c r="F41" s="299">
        <f>IF(ISERROR(VLOOKUP($A41,DECRETI!$A$1:$Z$500,F$4,FALSE)),0,VLOOKUP($A41,DECRETI!$A$1:$Z$500,F$4,FALSE))</f>
        <v>0</v>
      </c>
      <c r="G41" s="299">
        <f t="shared" si="3"/>
        <v>21922.2</v>
      </c>
      <c r="H41" s="299">
        <f>IF(ISERROR(VLOOKUP($A41,DECRETI!$A$1:$Z$500,H$4,FALSE)),0,VLOOKUP($A41,DECRETI!$A$1:$Z$500,H$4,FALSE))</f>
        <v>0</v>
      </c>
      <c r="I41" s="299">
        <f t="shared" si="7"/>
        <v>21922.2</v>
      </c>
      <c r="J41" s="17"/>
      <c r="K41" s="299">
        <f t="shared" si="8"/>
        <v>0</v>
      </c>
    </row>
    <row r="42" spans="1:11" ht="15.75">
      <c r="A42" s="290" t="str">
        <f>+$C$3&amp;"_"&amp;B42&amp;"_"&amp;4</f>
        <v>702_AOIR09_4</v>
      </c>
      <c r="B42" s="291" t="s">
        <v>166</v>
      </c>
      <c r="C42" s="325"/>
      <c r="D42" s="336" t="s">
        <v>168</v>
      </c>
      <c r="E42" s="299">
        <f>IF(ISERROR(VLOOKUP($A42,DECRETI!$A$1:$Z$500,E$4,FALSE)),0,VLOOKUP($A42,DECRETI!$A$1:$Z$500,E$4,FALSE))</f>
        <v>17955</v>
      </c>
      <c r="F42" s="299">
        <f>IF(ISERROR(VLOOKUP($A42,DECRETI!$A$1:$Z$500,F$4,FALSE)),0,VLOOKUP($A42,DECRETI!$A$1:$Z$500,F$4,FALSE))</f>
        <v>0</v>
      </c>
      <c r="G42" s="299">
        <f t="shared" si="3"/>
        <v>17955</v>
      </c>
      <c r="H42" s="299">
        <f>IF(ISERROR(VLOOKUP($A42,DECRETI!$A$1:$Z$500,H$4,FALSE)),0,VLOOKUP($A42,DECRETI!$A$1:$Z$500,H$4,FALSE))</f>
        <v>0</v>
      </c>
      <c r="I42" s="299">
        <f t="shared" si="7"/>
        <v>17955</v>
      </c>
      <c r="J42" s="17"/>
      <c r="K42" s="299">
        <f t="shared" si="8"/>
        <v>0</v>
      </c>
    </row>
    <row r="43" spans="1:11" ht="15.75">
      <c r="A43" s="290" t="str">
        <f>+$C$3&amp;"_"&amp;B43&amp;"_"&amp;2</f>
        <v>702_AOIR09_2</v>
      </c>
      <c r="B43" s="291" t="s">
        <v>166</v>
      </c>
      <c r="C43" s="325"/>
      <c r="D43" s="324" t="s">
        <v>169</v>
      </c>
      <c r="E43" s="299">
        <f>IF(ISERROR(VLOOKUP($A43,DECRETI!$A$1:$Z$500,E$4,FALSE)),0,VLOOKUP($A43,DECRETI!$A$1:$Z$500,E$4,FALSE))</f>
        <v>1112.7</v>
      </c>
      <c r="F43" s="299">
        <f>IF(ISERROR(VLOOKUP($A43,DECRETI!$A$1:$Z$500,F$4,FALSE)),0,VLOOKUP($A43,DECRETI!$A$1:$Z$500,F$4,FALSE))</f>
        <v>0</v>
      </c>
      <c r="G43" s="299">
        <f t="shared" si="3"/>
        <v>1112.7</v>
      </c>
      <c r="H43" s="299">
        <f>IF(ISERROR(VLOOKUP($A43,DECRETI!$A$1:$Z$500,H$4,FALSE)),0,VLOOKUP($A43,DECRETI!$A$1:$Z$500,H$4,FALSE))</f>
        <v>0</v>
      </c>
      <c r="I43" s="299">
        <f t="shared" si="7"/>
        <v>1112.7</v>
      </c>
      <c r="J43" s="17"/>
      <c r="K43" s="299">
        <f t="shared" si="8"/>
        <v>0</v>
      </c>
    </row>
    <row r="44" spans="1:11" ht="15.75">
      <c r="A44" s="290" t="str">
        <f>+$C$3&amp;"_"&amp;B44&amp;"_"&amp;3</f>
        <v>702_AOIR09_3</v>
      </c>
      <c r="B44" s="291" t="s">
        <v>166</v>
      </c>
      <c r="C44" s="337"/>
      <c r="D44" s="336" t="s">
        <v>170</v>
      </c>
      <c r="E44" s="299">
        <f>IF(ISERROR(VLOOKUP($A44,DECRETI!$A$1:$Z$500,E$4,FALSE)),0,VLOOKUP($A44,DECRETI!$A$1:$Z$500,E$4,FALSE))</f>
        <v>283.5</v>
      </c>
      <c r="F44" s="299">
        <f>IF(ISERROR(VLOOKUP($A44,DECRETI!$A$1:$Z$500,F$4,FALSE)),0,VLOOKUP($A44,DECRETI!$A$1:$Z$500,F$4,FALSE))</f>
        <v>0</v>
      </c>
      <c r="G44" s="299">
        <f t="shared" si="3"/>
        <v>283.5</v>
      </c>
      <c r="H44" s="299">
        <f>IF(ISERROR(VLOOKUP($A44,DECRETI!$A$1:$Z$500,H$4,FALSE)),0,VLOOKUP($A44,DECRETI!$A$1:$Z$500,H$4,FALSE))</f>
        <v>0</v>
      </c>
      <c r="I44" s="299">
        <f t="shared" si="7"/>
        <v>283.5</v>
      </c>
      <c r="J44" s="17"/>
      <c r="K44" s="299">
        <f t="shared" si="8"/>
        <v>0</v>
      </c>
    </row>
    <row r="45" spans="1:11" ht="15.75">
      <c r="A45" s="290" t="str">
        <f>+$C$3&amp;"_"&amp;B45&amp;"_"&amp;1</f>
        <v>702_C13TOT_1</v>
      </c>
      <c r="B45" s="17" t="s">
        <v>171</v>
      </c>
      <c r="C45" s="325" t="s">
        <v>172</v>
      </c>
      <c r="D45" s="334" t="s">
        <v>173</v>
      </c>
      <c r="E45" s="327">
        <f>SUM(E46:E51)</f>
        <v>3841.6</v>
      </c>
      <c r="F45" s="328">
        <f>SUM(F46:F51)</f>
        <v>0</v>
      </c>
      <c r="G45" s="327">
        <f t="shared" si="3"/>
        <v>3841.6</v>
      </c>
      <c r="H45" s="327">
        <f>SUM(H46:H51)</f>
        <v>0</v>
      </c>
      <c r="I45" s="327">
        <f t="shared" si="7"/>
        <v>3841.6</v>
      </c>
      <c r="J45" s="17"/>
      <c r="K45" s="327">
        <f t="shared" si="8"/>
        <v>0</v>
      </c>
    </row>
    <row r="46" spans="1:11" ht="15.75">
      <c r="A46" s="290" t="str">
        <f>+$C$3&amp;"_"&amp;B46&amp;"_"&amp;1</f>
        <v>702_AOIR15_1</v>
      </c>
      <c r="B46" s="291" t="s">
        <v>174</v>
      </c>
      <c r="C46" s="325"/>
      <c r="D46" s="324" t="s">
        <v>175</v>
      </c>
      <c r="E46" s="299">
        <f>IF(ISERROR(VLOOKUP($A46,DECRETI!$A$1:$Z$500,E$4,FALSE)),0,VLOOKUP($A46,DECRETI!$A$1:$Z$500,E$4,FALSE))</f>
        <v>3129</v>
      </c>
      <c r="F46" s="395">
        <f>IF(ISERROR(VLOOKUP($A46,DECRETI!$A$1:$Z$500,F$4,FALSE)),0,VLOOKUP($A46,DECRETI!$A$1:$Z$500,F$4,FALSE))</f>
        <v>0</v>
      </c>
      <c r="G46" s="327">
        <f t="shared" si="3"/>
        <v>3129</v>
      </c>
      <c r="H46" s="299">
        <f>IF(ISERROR(VLOOKUP($A46,DECRETI!$A$1:$Z$500,H$4,FALSE)),0,VLOOKUP($A46,DECRETI!$A$1:$Z$500,H$4,FALSE))</f>
        <v>0</v>
      </c>
      <c r="I46" s="299">
        <f t="shared" si="7"/>
        <v>3129</v>
      </c>
      <c r="J46" s="17"/>
      <c r="K46" s="299">
        <f aca="true" t="shared" si="9" ref="K46:K51">+E46+H46-I46</f>
        <v>0</v>
      </c>
    </row>
    <row r="47" spans="1:11" ht="15.75">
      <c r="A47" s="290" t="str">
        <f>+$C$3&amp;"_"&amp;B47&amp;"_"&amp;2</f>
        <v>702_AOIR15_2</v>
      </c>
      <c r="B47" s="291" t="s">
        <v>174</v>
      </c>
      <c r="C47" s="325"/>
      <c r="D47" s="324" t="s">
        <v>176</v>
      </c>
      <c r="E47" s="299">
        <f>IF(ISERROR(VLOOKUP($A47,DECRETI!$A$1:$Z$500,E$4,FALSE)),0,VLOOKUP($A47,DECRETI!$A$1:$Z$500,E$4,FALSE))</f>
        <v>111.6</v>
      </c>
      <c r="F47" s="299">
        <f>IF(ISERROR(VLOOKUP($A47,DECRETI!$A$1:$Z$500,F$4,FALSE)),0,VLOOKUP($A47,DECRETI!$A$1:$Z$500,F$4,FALSE))</f>
        <v>0</v>
      </c>
      <c r="G47" s="299">
        <f t="shared" si="3"/>
        <v>111.6</v>
      </c>
      <c r="H47" s="299">
        <f>IF(ISERROR(VLOOKUP($A47,DECRETI!$A$1:$Z$500,H$4,FALSE)),0,VLOOKUP($A47,DECRETI!$A$1:$Z$500,H$4,FALSE))</f>
        <v>0</v>
      </c>
      <c r="I47" s="299">
        <f t="shared" si="7"/>
        <v>111.6</v>
      </c>
      <c r="J47" s="17"/>
      <c r="K47" s="299">
        <f t="shared" si="9"/>
        <v>0</v>
      </c>
    </row>
    <row r="48" spans="1:11" ht="15.75">
      <c r="A48" s="290" t="str">
        <f>+$C$3&amp;"_"&amp;B48&amp;"_"&amp;3</f>
        <v>702_AOIR15_3</v>
      </c>
      <c r="B48" s="291" t="s">
        <v>174</v>
      </c>
      <c r="C48" s="325"/>
      <c r="D48" s="324" t="s">
        <v>177</v>
      </c>
      <c r="E48" s="299">
        <f>IF(ISERROR(VLOOKUP($A48,DECRETI!$A$1:$Z$500,E$4,FALSE)),0,VLOOKUP($A48,DECRETI!$A$1:$Z$500,E$4,FALSE))</f>
        <v>0</v>
      </c>
      <c r="F48" s="299">
        <f>IF(ISERROR(VLOOKUP($A48,DECRETI!$A$1:$Z$500,F$4,FALSE)),0,VLOOKUP($A48,DECRETI!$A$1:$Z$500,F$4,FALSE))</f>
        <v>0</v>
      </c>
      <c r="G48" s="299">
        <f t="shared" si="3"/>
        <v>0</v>
      </c>
      <c r="H48" s="299">
        <f>IF(ISERROR(VLOOKUP($A48,DECRETI!$A$1:$Z$500,H$4,FALSE)),0,VLOOKUP($A48,DECRETI!$A$1:$Z$500,H$4,FALSE))</f>
        <v>0</v>
      </c>
      <c r="I48" s="299">
        <f t="shared" si="7"/>
        <v>0</v>
      </c>
      <c r="J48" s="17"/>
      <c r="K48" s="299">
        <f t="shared" si="9"/>
        <v>0</v>
      </c>
    </row>
    <row r="49" spans="1:11" ht="15.75">
      <c r="A49" s="290" t="str">
        <f>+$C$3&amp;"_"&amp;B49&amp;"_"&amp;4</f>
        <v>702_AOIR15_4</v>
      </c>
      <c r="B49" s="291" t="s">
        <v>174</v>
      </c>
      <c r="C49" s="325"/>
      <c r="D49" s="324" t="s">
        <v>178</v>
      </c>
      <c r="E49" s="299">
        <f>IF(ISERROR(VLOOKUP($A49,DECRETI!$A$1:$Z$500,E$4,FALSE)),0,VLOOKUP($A49,DECRETI!$A$1:$Z$500,E$4,FALSE))</f>
        <v>0</v>
      </c>
      <c r="F49" s="299">
        <f>IF(ISERROR(VLOOKUP($A49,DECRETI!$A$1:$Z$500,F$4,FALSE)),0,VLOOKUP($A49,DECRETI!$A$1:$Z$500,F$4,FALSE))</f>
        <v>0</v>
      </c>
      <c r="G49" s="299">
        <f t="shared" si="3"/>
        <v>0</v>
      </c>
      <c r="H49" s="299">
        <f>IF(ISERROR(VLOOKUP($A49,DECRETI!$A$1:$Z$500,H$4,FALSE)),0,VLOOKUP($A49,DECRETI!$A$1:$Z$500,H$4,FALSE))</f>
        <v>0</v>
      </c>
      <c r="I49" s="299">
        <f t="shared" si="7"/>
        <v>0</v>
      </c>
      <c r="J49" s="17"/>
      <c r="K49" s="299">
        <f t="shared" si="9"/>
        <v>0</v>
      </c>
    </row>
    <row r="50" spans="1:11" ht="15.75">
      <c r="A50" s="290" t="str">
        <f>+$C$3&amp;"_"&amp;B50&amp;"_"&amp;5</f>
        <v>702_AOIR15_5</v>
      </c>
      <c r="B50" s="291" t="s">
        <v>174</v>
      </c>
      <c r="C50" s="325"/>
      <c r="D50" s="324" t="s">
        <v>179</v>
      </c>
      <c r="E50" s="299">
        <f>IF(ISERROR(VLOOKUP($A50,DECRETI!$A$1:$Z$500,E$4,FALSE)),0,VLOOKUP($A50,DECRETI!$A$1:$Z$500,E$4,FALSE))</f>
        <v>429</v>
      </c>
      <c r="F50" s="299">
        <f>IF(ISERROR(VLOOKUP($A50,DECRETI!$A$1:$Z$500,F$4,FALSE)),0,VLOOKUP($A50,DECRETI!$A$1:$Z$500,F$4,FALSE))</f>
        <v>0</v>
      </c>
      <c r="G50" s="299">
        <f t="shared" si="3"/>
        <v>429</v>
      </c>
      <c r="H50" s="299">
        <f>IF(ISERROR(VLOOKUP($A50,DECRETI!$A$1:$Z$500,H$4,FALSE)),0,VLOOKUP($A50,DECRETI!$A$1:$Z$500,H$4,FALSE))</f>
        <v>0</v>
      </c>
      <c r="I50" s="299">
        <f t="shared" si="7"/>
        <v>429</v>
      </c>
      <c r="J50" s="17"/>
      <c r="K50" s="299">
        <f t="shared" si="9"/>
        <v>0</v>
      </c>
    </row>
    <row r="51" spans="1:11" ht="15.75">
      <c r="A51" s="290" t="str">
        <f>+$C$3&amp;"_"&amp;B51&amp;"_"&amp;6</f>
        <v>702_AOIR15_6</v>
      </c>
      <c r="B51" s="291" t="s">
        <v>174</v>
      </c>
      <c r="C51" s="338"/>
      <c r="D51" s="339" t="s">
        <v>180</v>
      </c>
      <c r="E51" s="340">
        <f>IF(ISERROR(VLOOKUP($A51,DECRETI!$A$1:$Z$500,E$4,FALSE)),0,VLOOKUP($A51,DECRETI!$A$1:$Z$500,E$4,FALSE))</f>
        <v>172</v>
      </c>
      <c r="F51" s="340">
        <f>IF(ISERROR(VLOOKUP($A51,DECRETI!$A$1:$Z$500,F$4,FALSE)),0,VLOOKUP($A51,DECRETI!$A$1:$Z$500,F$4,FALSE))</f>
        <v>0</v>
      </c>
      <c r="G51" s="340">
        <f t="shared" si="3"/>
        <v>172</v>
      </c>
      <c r="H51" s="340">
        <f>IF(ISERROR(VLOOKUP($A51,DECRETI!$A$1:$Z$500,H$4,FALSE)),0,VLOOKUP($A51,DECRETI!$A$1:$Z$500,H$4,FALSE))</f>
        <v>0</v>
      </c>
      <c r="I51" s="340">
        <f t="shared" si="7"/>
        <v>172</v>
      </c>
      <c r="J51" s="17"/>
      <c r="K51" s="340">
        <f t="shared" si="9"/>
        <v>0</v>
      </c>
    </row>
    <row r="52" spans="1:11" ht="15.75">
      <c r="A52" s="17"/>
      <c r="B52" s="17"/>
      <c r="C52" s="314"/>
      <c r="D52" s="315"/>
      <c r="E52" s="316"/>
      <c r="F52" s="316"/>
      <c r="G52" s="316"/>
      <c r="H52" s="316"/>
      <c r="I52" s="317"/>
      <c r="J52" s="17"/>
      <c r="K52" s="306"/>
    </row>
    <row r="53" spans="1:11" ht="31.5">
      <c r="A53" s="288"/>
      <c r="B53" s="289"/>
      <c r="C53" s="303" t="s">
        <v>181</v>
      </c>
      <c r="D53" s="311" t="s">
        <v>182</v>
      </c>
      <c r="E53" s="312"/>
      <c r="F53" s="312"/>
      <c r="G53" s="312"/>
      <c r="H53" s="312"/>
      <c r="I53" s="313"/>
      <c r="J53" s="17"/>
      <c r="K53" s="304"/>
    </row>
    <row r="54" spans="1:11" ht="15.75">
      <c r="A54" s="17"/>
      <c r="B54" s="17"/>
      <c r="C54" s="314"/>
      <c r="D54" s="315"/>
      <c r="E54" s="316"/>
      <c r="F54" s="316"/>
      <c r="G54" s="316"/>
      <c r="H54" s="316"/>
      <c r="I54" s="317"/>
      <c r="J54" s="17"/>
      <c r="K54" s="305"/>
    </row>
    <row r="55" spans="1:11" ht="15.75">
      <c r="A55" s="290" t="str">
        <f aca="true" t="shared" si="10" ref="A55:A66">+$C$3&amp;"_"&amp;B55&amp;"_"&amp;1</f>
        <v>702_D1TOT_1</v>
      </c>
      <c r="B55" s="17" t="s">
        <v>183</v>
      </c>
      <c r="C55" s="318" t="s">
        <v>111</v>
      </c>
      <c r="D55" s="333" t="s">
        <v>184</v>
      </c>
      <c r="E55" s="341">
        <f>+E56+E60+E61+E63+E64+E65+E66+E62</f>
        <v>371353.46</v>
      </c>
      <c r="F55" s="341">
        <f>+F56+F60+F61+F63+F64+F65+F66+F62</f>
        <v>0</v>
      </c>
      <c r="G55" s="320">
        <f aca="true" t="shared" si="11" ref="G55:G66">+E55+F55</f>
        <v>371353.46</v>
      </c>
      <c r="H55" s="320">
        <f>+H56+H60+H61+H63+H64+H65+H66</f>
        <v>1313</v>
      </c>
      <c r="I55" s="320">
        <f>+G55+H55</f>
        <v>372666.46</v>
      </c>
      <c r="J55" s="17"/>
      <c r="K55" s="320">
        <f>+E55+H55-I55</f>
        <v>0</v>
      </c>
    </row>
    <row r="56" spans="1:11" ht="15.75">
      <c r="A56" s="290" t="str">
        <f t="shared" si="10"/>
        <v>702_AOIC01_1</v>
      </c>
      <c r="B56" s="291" t="s">
        <v>185</v>
      </c>
      <c r="C56" s="322"/>
      <c r="D56" s="336" t="s">
        <v>186</v>
      </c>
      <c r="E56" s="299">
        <f>IF(ISERROR(VLOOKUP($A56,DECRETI!$A$1:$Z$500,E$4,FALSE)),0,VLOOKUP($A56,DECRETI!$A$1:$Z$500,E$4,FALSE))</f>
        <v>183242</v>
      </c>
      <c r="F56" s="299">
        <f>IF(ISERROR(VLOOKUP($A56,DECRETI!$A$1:$Z$500,F$4,FALSE)),0,VLOOKUP($A56,DECRETI!$A$1:$Z$500,F$4,FALSE))</f>
        <v>0</v>
      </c>
      <c r="G56" s="299">
        <f t="shared" si="11"/>
        <v>183242</v>
      </c>
      <c r="H56" s="299">
        <f>IF(ISERROR(VLOOKUP($A56,DECRETI!$A$1:$Z$500,H$4,FALSE)),0,VLOOKUP($A56,DECRETI!$A$1:$Z$500,H$4,FALSE))</f>
        <v>1124</v>
      </c>
      <c r="I56" s="299">
        <f aca="true" t="shared" si="12" ref="I56:I66">+G56+H56</f>
        <v>184366</v>
      </c>
      <c r="J56" s="17"/>
      <c r="K56" s="299">
        <f aca="true" t="shared" si="13" ref="K56:K66">+E56+H56-I56</f>
        <v>0</v>
      </c>
    </row>
    <row r="57" spans="1:11" ht="25.5">
      <c r="A57" s="290" t="str">
        <f t="shared" si="10"/>
        <v>702_ONPERS_1</v>
      </c>
      <c r="B57" s="292" t="s">
        <v>187</v>
      </c>
      <c r="C57" s="325"/>
      <c r="D57" s="342" t="s">
        <v>188</v>
      </c>
      <c r="E57" s="299">
        <f>IF(ISERROR(VLOOKUP($A57,DECRETI!$A$1:$Z$500,E$4,FALSE)),0,VLOOKUP($A57,DECRETI!$A$1:$Z$500,E$4,FALSE))</f>
        <v>179168</v>
      </c>
      <c r="F57" s="299">
        <f>IF(ISERROR(VLOOKUP($A57,DECRETI!$A$1:$Z$500,F$4,FALSE)),0,VLOOKUP($A57,DECRETI!$A$1:$Z$500,F$4,FALSE))</f>
        <v>0</v>
      </c>
      <c r="G57" s="299">
        <f t="shared" si="11"/>
        <v>179168</v>
      </c>
      <c r="H57" s="299">
        <f>IF(ISERROR(VLOOKUP($A57,DECRETI!$A$1:$Z$500,H$4,FALSE)),0,VLOOKUP($A57,DECRETI!$A$1:$Z$500,H$4,FALSE))</f>
        <v>1124</v>
      </c>
      <c r="I57" s="299">
        <f t="shared" si="12"/>
        <v>180292</v>
      </c>
      <c r="J57" s="17"/>
      <c r="K57" s="299">
        <f t="shared" si="13"/>
        <v>0</v>
      </c>
    </row>
    <row r="58" spans="1:11" ht="25.5">
      <c r="A58" s="290" t="str">
        <f t="shared" si="10"/>
        <v>702_ONCOMP_1</v>
      </c>
      <c r="B58" s="292" t="s">
        <v>189</v>
      </c>
      <c r="C58" s="325"/>
      <c r="D58" s="342" t="s">
        <v>190</v>
      </c>
      <c r="E58" s="299">
        <f>IF(ISERROR(VLOOKUP($A58,DECRETI!$A$1:$Z$500,E$4,FALSE)),0,VLOOKUP($A58,DECRETI!$A$1:$Z$500,E$4,FALSE))</f>
        <v>2908</v>
      </c>
      <c r="F58" s="299">
        <f>IF(ISERROR(VLOOKUP($A58,DECRETI!$A$1:$Z$500,F$4,FALSE)),0,VLOOKUP($A58,DECRETI!$A$1:$Z$500,F$4,FALSE))</f>
        <v>0</v>
      </c>
      <c r="G58" s="299">
        <f t="shared" si="11"/>
        <v>2908</v>
      </c>
      <c r="H58" s="299">
        <f>IF(ISERROR(VLOOKUP($A58,DECRETI!$A$1:$Z$500,H$4,FALSE)),0,VLOOKUP($A58,DECRETI!$A$1:$Z$500,H$4,FALSE))</f>
        <v>0</v>
      </c>
      <c r="I58" s="299">
        <f t="shared" si="12"/>
        <v>2908</v>
      </c>
      <c r="J58" s="17"/>
      <c r="K58" s="299">
        <f t="shared" si="13"/>
        <v>0</v>
      </c>
    </row>
    <row r="59" spans="1:11" ht="15.75">
      <c r="A59" s="290" t="str">
        <f t="shared" si="10"/>
        <v>702_ONDIR_1</v>
      </c>
      <c r="B59" s="292" t="s">
        <v>191</v>
      </c>
      <c r="C59" s="337"/>
      <c r="D59" s="342" t="s">
        <v>192</v>
      </c>
      <c r="E59" s="299">
        <f>IF(ISERROR(VLOOKUP($A59,DECRETI!$A$1:$Z$500,E$4,FALSE)),0,VLOOKUP($A59,DECRETI!$A$1:$Z$500,E$4,FALSE))</f>
        <v>1166</v>
      </c>
      <c r="F59" s="299">
        <f>IF(ISERROR(VLOOKUP($A59,DECRETI!$A$1:$Z$500,F$4,FALSE)),0,VLOOKUP($A59,DECRETI!$A$1:$Z$500,F$4,FALSE))</f>
        <v>0</v>
      </c>
      <c r="G59" s="299">
        <f t="shared" si="11"/>
        <v>1166</v>
      </c>
      <c r="H59" s="299">
        <f>IF(ISERROR(VLOOKUP($A59,DECRETI!$A$1:$Z$500,H$4,FALSE)),0,VLOOKUP($A59,DECRETI!$A$1:$Z$500,H$4,FALSE))</f>
        <v>0</v>
      </c>
      <c r="I59" s="299">
        <f t="shared" si="12"/>
        <v>1166</v>
      </c>
      <c r="J59" s="17"/>
      <c r="K59" s="299">
        <f t="shared" si="13"/>
        <v>0</v>
      </c>
    </row>
    <row r="60" spans="1:11" ht="15.75">
      <c r="A60" s="290" t="str">
        <f t="shared" si="10"/>
        <v>702_AOIC02_1</v>
      </c>
      <c r="B60" s="291" t="s">
        <v>193</v>
      </c>
      <c r="C60" s="322"/>
      <c r="D60" s="324" t="s">
        <v>194</v>
      </c>
      <c r="E60" s="299">
        <f>IF(ISERROR(VLOOKUP($A60,DECRETI!$A$1:$Z$500,E$4,FALSE)),0,VLOOKUP($A60,DECRETI!$A$1:$Z$500,E$4,FALSE))</f>
        <v>12119</v>
      </c>
      <c r="F60" s="299">
        <f>IF(ISERROR(VLOOKUP($A60,DECRETI!$A$1:$Z$500,F$4,FALSE)),0,VLOOKUP($A60,DECRETI!$A$1:$Z$500,F$4,FALSE))</f>
        <v>0</v>
      </c>
      <c r="G60" s="299">
        <f t="shared" si="11"/>
        <v>12119</v>
      </c>
      <c r="H60" s="299">
        <f>IF(ISERROR(VLOOKUP($A60,DECRETI!$A$1:$Z$500,H$4,FALSE)),0,VLOOKUP($A60,DECRETI!$A$1:$Z$500,H$4,FALSE))</f>
        <v>86</v>
      </c>
      <c r="I60" s="299">
        <f t="shared" si="12"/>
        <v>12205</v>
      </c>
      <c r="J60" s="17"/>
      <c r="K60" s="299">
        <f t="shared" si="13"/>
        <v>0</v>
      </c>
    </row>
    <row r="61" spans="1:11" ht="15.75">
      <c r="A61" s="290" t="str">
        <f t="shared" si="10"/>
        <v>702_AOIC04_1</v>
      </c>
      <c r="B61" s="291" t="s">
        <v>195</v>
      </c>
      <c r="C61" s="322"/>
      <c r="D61" s="324" t="s">
        <v>196</v>
      </c>
      <c r="E61" s="299">
        <f>IF(ISERROR(VLOOKUP($A61,DECRETI!$A$1:$Z$500,E$4,FALSE)),0,VLOOKUP($A61,DECRETI!$A$1:$Z$500,E$4,FALSE))</f>
        <v>163499.46000000002</v>
      </c>
      <c r="F61" s="299">
        <f>IF(ISERROR(VLOOKUP($A61,DECRETI!$A$1:$Z$500,F$4,FALSE)),0,VLOOKUP($A61,DECRETI!$A$1:$Z$500,F$4,FALSE))</f>
        <v>0</v>
      </c>
      <c r="G61" s="299">
        <f t="shared" si="11"/>
        <v>163499.46000000002</v>
      </c>
      <c r="H61" s="299">
        <f>IF(ISERROR(VLOOKUP($A61,DECRETI!$A$1:$Z$500,H$4,FALSE)),0,VLOOKUP($A61,DECRETI!$A$1:$Z$500,H$4,FALSE))</f>
        <v>101</v>
      </c>
      <c r="I61" s="299">
        <f t="shared" si="12"/>
        <v>163600.46000000002</v>
      </c>
      <c r="J61" s="17"/>
      <c r="K61" s="299">
        <f t="shared" si="13"/>
        <v>0</v>
      </c>
    </row>
    <row r="62" spans="1:11" ht="15.75">
      <c r="A62" s="290" t="str">
        <f t="shared" si="10"/>
        <v>702_INTPROT_1</v>
      </c>
      <c r="B62" s="291" t="s">
        <v>197</v>
      </c>
      <c r="C62" s="322"/>
      <c r="D62" s="324" t="s">
        <v>198</v>
      </c>
      <c r="E62" s="299">
        <f>IF(ISERROR(VLOOKUP($A62,DECRETI!$A$1:$Z$500,E$4,FALSE)),0,VLOOKUP($A62,DECRETI!$A$1:$Z$500,E$4,FALSE))</f>
        <v>0</v>
      </c>
      <c r="F62" s="299">
        <f>IF(ISERROR(VLOOKUP($A62,DECRETI!$A$1:$Z$500,F$4,FALSE)),0,VLOOKUP($A62,DECRETI!$A$1:$Z$500,F$4,FALSE))</f>
        <v>0</v>
      </c>
      <c r="G62" s="299">
        <f t="shared" si="11"/>
        <v>0</v>
      </c>
      <c r="H62" s="299">
        <f>IF(ISERROR(VLOOKUP($A62,DECRETI!$A$1:$Z$500,H$4,FALSE)),0,VLOOKUP($A62,DECRETI!$A$1:$Z$500,H$4,FALSE))</f>
        <v>0</v>
      </c>
      <c r="I62" s="299">
        <f t="shared" si="12"/>
        <v>0</v>
      </c>
      <c r="J62" s="17"/>
      <c r="K62" s="299">
        <f t="shared" si="13"/>
        <v>0</v>
      </c>
    </row>
    <row r="63" spans="1:11" ht="15.75">
      <c r="A63" s="290" t="str">
        <f t="shared" si="10"/>
        <v>702_AOIC06_1</v>
      </c>
      <c r="B63" s="291" t="s">
        <v>199</v>
      </c>
      <c r="C63" s="322"/>
      <c r="D63" s="324" t="s">
        <v>200</v>
      </c>
      <c r="E63" s="299">
        <f>IF(ISERROR(VLOOKUP($A63,DECRETI!$A$1:$Z$500,E$4,FALSE)),0,VLOOKUP($A63,DECRETI!$A$1:$Z$500,E$4,FALSE))</f>
        <v>6881</v>
      </c>
      <c r="F63" s="299">
        <f>IF(ISERROR(VLOOKUP($A63,DECRETI!$A$1:$Z$500,F$4,FALSE)),0,VLOOKUP($A63,DECRETI!$A$1:$Z$500,F$4,FALSE))</f>
        <v>0</v>
      </c>
      <c r="G63" s="299">
        <f t="shared" si="11"/>
        <v>6881</v>
      </c>
      <c r="H63" s="299">
        <f>IF(ISERROR(VLOOKUP($A63,DECRETI!$A$1:$Z$500,H$4,FALSE)),0,VLOOKUP($A63,DECRETI!$A$1:$Z$500,H$4,FALSE))</f>
        <v>0</v>
      </c>
      <c r="I63" s="299">
        <f t="shared" si="12"/>
        <v>6881</v>
      </c>
      <c r="J63" s="17"/>
      <c r="K63" s="299">
        <f t="shared" si="13"/>
        <v>0</v>
      </c>
    </row>
    <row r="64" spans="1:11" ht="15.75">
      <c r="A64" s="290" t="str">
        <f t="shared" si="10"/>
        <v>702_AOIC05_1</v>
      </c>
      <c r="B64" s="291" t="s">
        <v>201</v>
      </c>
      <c r="C64" s="322"/>
      <c r="D64" s="324" t="s">
        <v>202</v>
      </c>
      <c r="E64" s="299">
        <f>IF(ISERROR(VLOOKUP($A64,DECRETI!$A$1:$Z$500,E$4,FALSE)),0,VLOOKUP($A64,DECRETI!$A$1:$Z$500,E$4,FALSE))</f>
        <v>2527</v>
      </c>
      <c r="F64" s="299">
        <f>IF(ISERROR(VLOOKUP($A64,DECRETI!$A$1:$Z$500,F$4,FALSE)),0,VLOOKUP($A64,DECRETI!$A$1:$Z$500,F$4,FALSE))</f>
        <v>0</v>
      </c>
      <c r="G64" s="299">
        <f t="shared" si="11"/>
        <v>2527</v>
      </c>
      <c r="H64" s="299">
        <f>IF(ISERROR(VLOOKUP($A64,DECRETI!$A$1:$Z$500,H$4,FALSE)),0,VLOOKUP($A64,DECRETI!$A$1:$Z$500,H$4,FALSE))</f>
        <v>2</v>
      </c>
      <c r="I64" s="299">
        <f t="shared" si="12"/>
        <v>2529</v>
      </c>
      <c r="J64" s="17"/>
      <c r="K64" s="299">
        <f t="shared" si="13"/>
        <v>0</v>
      </c>
    </row>
    <row r="65" spans="1:11" ht="15.75">
      <c r="A65" s="290" t="str">
        <f t="shared" si="10"/>
        <v>702_AOIC07_1</v>
      </c>
      <c r="B65" s="291" t="s">
        <v>203</v>
      </c>
      <c r="C65" s="322"/>
      <c r="D65" s="336" t="s">
        <v>204</v>
      </c>
      <c r="E65" s="299">
        <f>IF(ISERROR(VLOOKUP($A65,DECRETI!$A$1:$Z$500,E$4,FALSE)),0,VLOOKUP($A65,DECRETI!$A$1:$Z$500,E$4,FALSE))</f>
        <v>3085</v>
      </c>
      <c r="F65" s="299">
        <f>IF(ISERROR(VLOOKUP($A65,DECRETI!$A$1:$Z$500,F$4,FALSE)),0,VLOOKUP($A65,DECRETI!$A$1:$Z$500,F$4,FALSE))</f>
        <v>0</v>
      </c>
      <c r="G65" s="299">
        <f t="shared" si="11"/>
        <v>3085</v>
      </c>
      <c r="H65" s="299">
        <f>IF(ISERROR(VLOOKUP($A65,DECRETI!$A$1:$Z$500,H$4,FALSE)),0,VLOOKUP($A65,DECRETI!$A$1:$Z$500,H$4,FALSE))</f>
        <v>0</v>
      </c>
      <c r="I65" s="299">
        <f t="shared" si="12"/>
        <v>3085</v>
      </c>
      <c r="J65" s="17"/>
      <c r="K65" s="299">
        <f t="shared" si="13"/>
        <v>0</v>
      </c>
    </row>
    <row r="66" spans="1:11" ht="15.75">
      <c r="A66" s="290" t="str">
        <f t="shared" si="10"/>
        <v>702_AOIC08_1</v>
      </c>
      <c r="B66" s="291" t="s">
        <v>205</v>
      </c>
      <c r="C66" s="338"/>
      <c r="D66" s="343" t="s">
        <v>206</v>
      </c>
      <c r="E66" s="340">
        <f>IF(ISERROR(VLOOKUP($A66,DECRETI!$A$1:$Z$500,E$4,FALSE)),0,VLOOKUP($A66,DECRETI!$A$1:$Z$500,E$4,FALSE))</f>
        <v>0</v>
      </c>
      <c r="F66" s="340">
        <f>IF(ISERROR(VLOOKUP($A66,DECRETI!$A$1:$Z$500,F$4,FALSE)),0,VLOOKUP($A66,DECRETI!$A$1:$Z$500,F$4,FALSE))</f>
        <v>0</v>
      </c>
      <c r="G66" s="340">
        <f t="shared" si="11"/>
        <v>0</v>
      </c>
      <c r="H66" s="340">
        <f>IF(ISERROR(VLOOKUP($A66,DECRETI!$A$1:$Z$500,H$4,FALSE)),0,VLOOKUP($A66,DECRETI!$A$1:$Z$500,H$4,FALSE))</f>
        <v>0</v>
      </c>
      <c r="I66" s="340">
        <f t="shared" si="12"/>
        <v>0</v>
      </c>
      <c r="J66" s="17"/>
      <c r="K66" s="340">
        <f t="shared" si="13"/>
        <v>0</v>
      </c>
    </row>
    <row r="67" spans="1:11" ht="15.75">
      <c r="A67" s="17"/>
      <c r="B67" s="17"/>
      <c r="C67" s="280"/>
      <c r="D67" s="293"/>
      <c r="E67" s="293"/>
      <c r="F67" s="293"/>
      <c r="G67" s="293"/>
      <c r="H67" s="293"/>
      <c r="I67" s="293"/>
      <c r="J67" s="17"/>
      <c r="K67" s="17"/>
    </row>
    <row r="68" spans="1:11" ht="15.75">
      <c r="A68" s="290" t="str">
        <f aca="true" t="shared" si="14" ref="A68:A77">+$C$3&amp;"_"&amp;B68&amp;"_"&amp;1</f>
        <v>702_NOTA0_1</v>
      </c>
      <c r="B68" s="17" t="s">
        <v>207</v>
      </c>
      <c r="C68" s="294" t="s">
        <v>208</v>
      </c>
      <c r="D68" s="430" t="str">
        <f>IF(ISERROR(VLOOKUP($A68,NOTE!$A$1:$Z$500,4,FALSE)),"",VLOOKUP($A68,NOTE!$A$1:$Z$500,4,FALSE))</f>
        <v>Il seguente importo pari a Euro 3.794 ('000) è vincolato al conto 4.20.10.20.010.030.10.000 ASSICURAZIONI: Premi per R.C. Professionale</v>
      </c>
      <c r="E68" s="431"/>
      <c r="F68" s="431"/>
      <c r="G68" s="431"/>
      <c r="H68" s="431"/>
      <c r="I68" s="432"/>
      <c r="J68" s="17"/>
      <c r="K68" s="17"/>
    </row>
    <row r="69" spans="1:11" ht="15.75">
      <c r="A69" s="290" t="str">
        <f t="shared" si="14"/>
        <v>702_NOTA1_1</v>
      </c>
      <c r="B69" s="17" t="s">
        <v>209</v>
      </c>
      <c r="C69" s="17"/>
      <c r="D69" s="430" t="str">
        <f>IF(ISERROR(VLOOKUP($A69,NOTE!$A$1:$Z$500,4,FALSE)),"",VLOOKUP($A69,NOTE!$A$1:$Z$500,4,FALSE))</f>
        <v>L'importo da vincolare in accantonamento per rischi assicurativi è pari a 2,674 milioni €</v>
      </c>
      <c r="E69" s="431"/>
      <c r="F69" s="431"/>
      <c r="G69" s="431"/>
      <c r="H69" s="431"/>
      <c r="I69" s="432"/>
      <c r="J69" s="17"/>
      <c r="K69" s="17"/>
    </row>
    <row r="70" spans="1:11" ht="15.75">
      <c r="A70" s="290" t="str">
        <f t="shared" si="14"/>
        <v>702_NOTA2_1</v>
      </c>
      <c r="B70" s="17" t="s">
        <v>210</v>
      </c>
      <c r="C70" s="17"/>
      <c r="D70" s="430">
        <f>IF(ISERROR(VLOOKUP($A70,NOTE!$A$1:$Z$500,4,FALSE)),"",VLOOKUP($A70,NOTE!$A$1:$Z$500,4,FALSE))</f>
      </c>
      <c r="E70" s="431"/>
      <c r="F70" s="431"/>
      <c r="G70" s="431"/>
      <c r="H70" s="431"/>
      <c r="I70" s="432"/>
      <c r="J70" s="17"/>
      <c r="K70" s="17"/>
    </row>
    <row r="71" spans="1:11" ht="15.75">
      <c r="A71" s="290" t="str">
        <f t="shared" si="14"/>
        <v>702_NOTA3_1</v>
      </c>
      <c r="B71" s="17" t="s">
        <v>211</v>
      </c>
      <c r="C71" s="17"/>
      <c r="D71" s="430">
        <f>IF(ISERROR(VLOOKUP($A71,NOTE!$A$1:$Z$500,4,FALSE)),"",VLOOKUP($A71,NOTE!$A$1:$Z$500,4,FALSE))</f>
      </c>
      <c r="E71" s="431"/>
      <c r="F71" s="431"/>
      <c r="G71" s="431"/>
      <c r="H71" s="431"/>
      <c r="I71" s="432"/>
      <c r="J71" s="17"/>
      <c r="K71" s="17"/>
    </row>
    <row r="72" spans="1:11" ht="15.75">
      <c r="A72" s="290" t="str">
        <f t="shared" si="14"/>
        <v>702_NOTA4_1</v>
      </c>
      <c r="B72" s="17" t="s">
        <v>212</v>
      </c>
      <c r="C72" s="17"/>
      <c r="D72" s="430">
        <f>IF(ISERROR(VLOOKUP($A72,NOTE!$A$1:$Z$500,4,FALSE)),"",VLOOKUP($A72,NOTE!$A$1:$Z$500,4,FALSE))</f>
      </c>
      <c r="E72" s="431"/>
      <c r="F72" s="431"/>
      <c r="G72" s="431"/>
      <c r="H72" s="431"/>
      <c r="I72" s="432"/>
      <c r="J72" s="17"/>
      <c r="K72" s="17"/>
    </row>
    <row r="73" spans="1:11" ht="15.75">
      <c r="A73" s="290" t="str">
        <f t="shared" si="14"/>
        <v>702_NOTA5_1</v>
      </c>
      <c r="B73" s="17" t="s">
        <v>213</v>
      </c>
      <c r="C73" s="17"/>
      <c r="D73" s="430" t="str">
        <f>IF(ISERROR(VLOOKUP($A73,NOTE!$A$1:$Z$500,4,FALSE)),"",VLOOKUP($A73,NOTE!$A$1:$Z$500,4,FALSE))</f>
        <v>La voce beni e serivizi include: costi per file F, HCV, doppio canale e primo ciclo, lordi, pari a 45.692 (000) €</v>
      </c>
      <c r="E73" s="431"/>
      <c r="F73" s="431"/>
      <c r="G73" s="431"/>
      <c r="H73" s="431"/>
      <c r="I73" s="432"/>
      <c r="J73" s="17"/>
      <c r="K73" s="17"/>
    </row>
    <row r="74" spans="1:11" ht="15.75">
      <c r="A74" s="290" t="str">
        <f t="shared" si="14"/>
        <v>702_NOTA6_1</v>
      </c>
      <c r="B74" s="17" t="s">
        <v>214</v>
      </c>
      <c r="C74" s="17"/>
      <c r="D74" s="430" t="str">
        <f>IF(ISERROR(VLOOKUP($A74,NOTE!$A$1:$Z$500,4,FALSE)),"",VLOOKUP($A74,NOTE!$A$1:$Z$500,4,FALSE))</f>
        <v>La voce accantonamenti include la riclassificazione di 360 (000) € effettuata dalla voce Libera Professione, per le quote accanonate per la Legge Balduzzi e per il fondo di perequazione, sulla base degli importi comunicati dall'Ente.</v>
      </c>
      <c r="E74" s="431"/>
      <c r="F74" s="431"/>
      <c r="G74" s="431"/>
      <c r="H74" s="431"/>
      <c r="I74" s="432"/>
      <c r="J74" s="17"/>
      <c r="K74" s="17"/>
    </row>
    <row r="75" spans="1:11" ht="15.75">
      <c r="A75" s="290" t="str">
        <f t="shared" si="14"/>
        <v>702_NOTA7_1</v>
      </c>
      <c r="B75" s="17" t="s">
        <v>215</v>
      </c>
      <c r="C75" s="17"/>
      <c r="D75" s="430">
        <f>IF(ISERROR(VLOOKUP($A75,NOTE!$A$1:$Z$500,4,FALSE)),"",VLOOKUP($A75,NOTE!$A$1:$Z$500,4,FALSE))</f>
      </c>
      <c r="E75" s="431"/>
      <c r="F75" s="431"/>
      <c r="G75" s="431"/>
      <c r="H75" s="431"/>
      <c r="I75" s="432"/>
      <c r="J75" s="17"/>
      <c r="K75" s="17"/>
    </row>
    <row r="76" spans="1:11" ht="15.75">
      <c r="A76" s="290" t="str">
        <f t="shared" si="14"/>
        <v>702_NOTA8_1</v>
      </c>
      <c r="B76" s="17" t="s">
        <v>216</v>
      </c>
      <c r="C76" s="17"/>
      <c r="D76" s="430" t="str">
        <f>IF(ISERROR(VLOOKUP($A76,NOTE!$A$1:$Z$500,4,FALSE)),"",VLOOKUP($A76,NOTE!$A$1:$Z$500,4,FALSE))</f>
        <v>La voce Beni e Servizi tiene conto della riduzione dei dati "netti" (CONS2015 - IV CET al netto del File F ed assicurazioni)  pari ad € 265 (000)</v>
      </c>
      <c r="E76" s="431"/>
      <c r="F76" s="431"/>
      <c r="G76" s="431"/>
      <c r="H76" s="431"/>
      <c r="I76" s="432"/>
      <c r="J76" s="17"/>
      <c r="K76" s="17"/>
    </row>
    <row r="77" spans="1:11" ht="15.75">
      <c r="A77" s="290" t="str">
        <f t="shared" si="14"/>
        <v>702_NOTA9_1</v>
      </c>
      <c r="B77" s="17" t="s">
        <v>217</v>
      </c>
      <c r="C77" s="17"/>
      <c r="D77" s="430">
        <f>IF(ISERROR(VLOOKUP($A77,NOTE!$A$1:$Z$500,4,FALSE)),"",VLOOKUP($A77,NOTE!$A$1:$Z$500,4,FALSE))</f>
      </c>
      <c r="E77" s="431"/>
      <c r="F77" s="431"/>
      <c r="G77" s="431"/>
      <c r="H77" s="431"/>
      <c r="I77" s="432"/>
      <c r="J77" s="17"/>
      <c r="K77" s="17"/>
    </row>
    <row r="78" spans="1:11" ht="15.75">
      <c r="A78" s="290" t="str">
        <f>+$C$3&amp;"_"&amp;B78&amp;"_"&amp;1</f>
        <v>702_NOTA10_1</v>
      </c>
      <c r="B78" s="17" t="s">
        <v>218</v>
      </c>
      <c r="C78" s="17"/>
      <c r="D78" s="430">
        <f>IF(ISERROR(VLOOKUP($A78,NOTE!$A$1:$Z$500,4,FALSE)),"",VLOOKUP($A78,NOTE!$A$1:$Z$500,4,FALSE))</f>
      </c>
      <c r="E78" s="431"/>
      <c r="F78" s="431"/>
      <c r="G78" s="431"/>
      <c r="H78" s="431"/>
      <c r="I78" s="432"/>
      <c r="J78" s="17"/>
      <c r="K78" s="17"/>
    </row>
    <row r="79" spans="1:11" ht="15.75">
      <c r="A79" s="17"/>
      <c r="B79" s="17"/>
      <c r="C79" s="17"/>
      <c r="D79" s="295"/>
      <c r="E79" s="295"/>
      <c r="F79" s="295"/>
      <c r="G79" s="295"/>
      <c r="H79" s="295"/>
      <c r="I79" s="295"/>
      <c r="J79" s="17"/>
      <c r="K79" s="17"/>
    </row>
    <row r="80" spans="1:11" ht="31.5">
      <c r="A80" s="17"/>
      <c r="B80" s="17"/>
      <c r="C80" s="17"/>
      <c r="D80" s="302"/>
      <c r="E80" s="426" t="s">
        <v>219</v>
      </c>
      <c r="F80" s="426"/>
      <c r="G80" s="426"/>
      <c r="H80" s="420" t="s">
        <v>105</v>
      </c>
      <c r="I80" s="420" t="s">
        <v>106</v>
      </c>
      <c r="J80" s="17"/>
      <c r="K80" s="17"/>
    </row>
    <row r="81" spans="1:11" ht="38.25">
      <c r="A81" s="17"/>
      <c r="B81" s="17"/>
      <c r="C81" s="17"/>
      <c r="D81" s="305"/>
      <c r="E81" s="298" t="str">
        <f>E$6</f>
        <v>Preventivo 2016 SANITARIO</v>
      </c>
      <c r="F81" s="298" t="str">
        <f>F$6</f>
        <v>Preventivo 2016 TER</v>
      </c>
      <c r="G81" s="298" t="str">
        <f>G$6</f>
        <v>Preventivo 2016 SAN + TER</v>
      </c>
      <c r="H81" s="46" t="str">
        <f>H$6</f>
        <v>Preventivo 2016 AREU</v>
      </c>
      <c r="I81" s="46" t="str">
        <f>I$6</f>
        <v>Preventivo 2016 TOTALE</v>
      </c>
      <c r="J81" s="17"/>
      <c r="K81" s="46" t="str">
        <f>K$6</f>
        <v>Controllo quadratura</v>
      </c>
    </row>
    <row r="82" spans="1:11" ht="22.5">
      <c r="A82" s="290" t="str">
        <f aca="true" t="shared" si="15" ref="A82:A90">+$C$3&amp;"_"&amp;B82&amp;"_"&amp;1</f>
        <v>702_TRIC_NOALP_1</v>
      </c>
      <c r="B82" s="291" t="s">
        <v>220</v>
      </c>
      <c r="C82" s="293"/>
      <c r="D82" s="307" t="s">
        <v>221</v>
      </c>
      <c r="E82" s="308">
        <f>IF(ISERROR(VLOOKUP($A82,DECRETI!$A$1:$Z$500,E$4,FALSE)),0,VLOOKUP($A82,DECRETI!$A$1:$Z$500,E$4,FALSE))</f>
        <v>365116.4600000001</v>
      </c>
      <c r="F82" s="308">
        <f>IF(ISERROR(VLOOKUP($A82,DECRETI!$A$1:$Z$500,F$4,FALSE)),0,VLOOKUP($A82,DECRETI!$A$1:$Z$500,F$4,FALSE))</f>
        <v>0</v>
      </c>
      <c r="G82" s="308">
        <f aca="true" t="shared" si="16" ref="G82:G90">+E82+F82</f>
        <v>365116.4600000001</v>
      </c>
      <c r="H82" s="308">
        <f>IF(ISERROR(VLOOKUP($A82,DECRETI!$A$1:$Z$500,H$4,FALSE)),0,VLOOKUP($A82,DECRETI!$A$1:$Z$500,H$4,FALSE))</f>
        <v>1313</v>
      </c>
      <c r="I82" s="308">
        <f aca="true" t="shared" si="17" ref="I82:I90">+G82+H82</f>
        <v>366429.4600000001</v>
      </c>
      <c r="J82" s="293"/>
      <c r="K82" s="308">
        <f aca="true" t="shared" si="18" ref="K82:K90">+E82+H82-I82</f>
        <v>0</v>
      </c>
    </row>
    <row r="83" spans="1:11" ht="22.5">
      <c r="A83" s="290" t="str">
        <f t="shared" si="15"/>
        <v>702_TCOS_NOALP_1</v>
      </c>
      <c r="B83" s="291" t="s">
        <v>222</v>
      </c>
      <c r="C83" s="293"/>
      <c r="D83" s="307" t="s">
        <v>223</v>
      </c>
      <c r="E83" s="308">
        <f>IF(ISERROR(VLOOKUP($A83,DECRETI!$A$1:$Z$500,E$4,FALSE)),0,VLOOKUP($A83,DECRETI!$A$1:$Z$500,E$4,FALSE))</f>
        <v>371353.46</v>
      </c>
      <c r="F83" s="308">
        <f>IF(ISERROR(VLOOKUP($A83,DECRETI!$A$1:$Z$500,F$4,FALSE)),0,VLOOKUP($A83,DECRETI!$A$1:$Z$500,F$4,FALSE))</f>
        <v>0</v>
      </c>
      <c r="G83" s="308">
        <f t="shared" si="16"/>
        <v>371353.46</v>
      </c>
      <c r="H83" s="308">
        <f>IF(ISERROR(VLOOKUP($A83,DECRETI!$A$1:$Z$500,H$4,FALSE)),0,VLOOKUP($A83,DECRETI!$A$1:$Z$500,H$4,FALSE))</f>
        <v>1313</v>
      </c>
      <c r="I83" s="308">
        <f t="shared" si="17"/>
        <v>372666.46</v>
      </c>
      <c r="J83" s="293"/>
      <c r="K83" s="308">
        <f t="shared" si="18"/>
        <v>0</v>
      </c>
    </row>
    <row r="84" spans="1:11" ht="15.75">
      <c r="A84" s="290" t="str">
        <f t="shared" si="15"/>
        <v>702_AOIR07_1</v>
      </c>
      <c r="B84" s="291" t="s">
        <v>224</v>
      </c>
      <c r="C84" s="17"/>
      <c r="D84" s="309" t="s">
        <v>225</v>
      </c>
      <c r="E84" s="310">
        <f>IF(ISERROR(VLOOKUP($A84,DECRETI!$A$1:$Z$500,E$4,FALSE)),0,VLOOKUP($A84,DECRETI!$A$1:$Z$500,E$4,FALSE))</f>
        <v>18950</v>
      </c>
      <c r="F84" s="310">
        <f>IF(ISERROR(VLOOKUP($A84,DECRETI!$A$1:$Z$500,F$4,FALSE)),0,VLOOKUP($A84,DECRETI!$A$1:$Z$500,F$4,FALSE))</f>
        <v>0</v>
      </c>
      <c r="G84" s="310">
        <f t="shared" si="16"/>
        <v>18950</v>
      </c>
      <c r="H84" s="310">
        <f>IF(ISERROR(VLOOKUP($A84,DECRETI!$A$1:$Z$500,H$4,FALSE)),0,VLOOKUP($A84,DECRETI!$A$1:$Z$500,H$4,FALSE))</f>
        <v>0</v>
      </c>
      <c r="I84" s="310">
        <f t="shared" si="17"/>
        <v>18950</v>
      </c>
      <c r="J84" s="17"/>
      <c r="K84" s="310">
        <f t="shared" si="18"/>
        <v>0</v>
      </c>
    </row>
    <row r="85" spans="1:11" ht="15.75">
      <c r="A85" s="290" t="str">
        <f t="shared" si="15"/>
        <v>702_AOIC03_1</v>
      </c>
      <c r="B85" s="291" t="s">
        <v>226</v>
      </c>
      <c r="C85" s="17"/>
      <c r="D85" s="309" t="s">
        <v>227</v>
      </c>
      <c r="E85" s="310">
        <f>IF(ISERROR(VLOOKUP($A85,DECRETI!$A$1:$Z$500,E$4,FALSE)),0,VLOOKUP($A85,DECRETI!$A$1:$Z$500,E$4,FALSE))</f>
        <v>12713</v>
      </c>
      <c r="F85" s="310">
        <f>IF(ISERROR(VLOOKUP($A85,DECRETI!$A$1:$Z$500,F$4,FALSE)),0,VLOOKUP($A85,DECRETI!$A$1:$Z$500,F$4,FALSE))</f>
        <v>0</v>
      </c>
      <c r="G85" s="310">
        <f t="shared" si="16"/>
        <v>12713</v>
      </c>
      <c r="H85" s="310">
        <f>IF(ISERROR(VLOOKUP($A85,DECRETI!$A$1:$Z$500,H$4,FALSE)),0,VLOOKUP($A85,DECRETI!$A$1:$Z$500,H$4,FALSE))</f>
        <v>0</v>
      </c>
      <c r="I85" s="310">
        <f t="shared" si="17"/>
        <v>12713</v>
      </c>
      <c r="J85" s="17"/>
      <c r="K85" s="310">
        <f t="shared" si="18"/>
        <v>0</v>
      </c>
    </row>
    <row r="86" spans="1:11" ht="15.75">
      <c r="A86" s="290" t="str">
        <f t="shared" si="15"/>
        <v>702_AOIR11_R_1</v>
      </c>
      <c r="B86" s="291" t="s">
        <v>228</v>
      </c>
      <c r="C86" s="17"/>
      <c r="D86" s="309" t="s">
        <v>229</v>
      </c>
      <c r="E86" s="310">
        <f>IF(ISERROR(VLOOKUP($A86,DECRETI!$A$1:$Z$500,E$4,FALSE)),0,VLOOKUP($A86,DECRETI!$A$1:$Z$500,E$4,FALSE))</f>
        <v>0</v>
      </c>
      <c r="F86" s="310">
        <f>IF(ISERROR(VLOOKUP($A86,DECRETI!$A$1:$Z$500,F$4,FALSE)),0,VLOOKUP($A86,DECRETI!$A$1:$Z$500,F$4,FALSE))</f>
        <v>0</v>
      </c>
      <c r="G86" s="310">
        <f t="shared" si="16"/>
        <v>0</v>
      </c>
      <c r="H86" s="310">
        <f>IF(ISERROR(VLOOKUP($A86,DECRETI!$A$1:$Z$500,H$4,FALSE)),0,VLOOKUP($A86,DECRETI!$A$1:$Z$500,H$4,FALSE))</f>
        <v>0</v>
      </c>
      <c r="I86" s="310">
        <f t="shared" si="17"/>
        <v>0</v>
      </c>
      <c r="J86" s="17"/>
      <c r="K86" s="310">
        <f t="shared" si="18"/>
        <v>0</v>
      </c>
    </row>
    <row r="87" spans="1:11" ht="15.75">
      <c r="A87" s="290" t="str">
        <f t="shared" si="15"/>
        <v>702_AOIR12_R_1</v>
      </c>
      <c r="B87" s="291" t="s">
        <v>230</v>
      </c>
      <c r="C87" s="17"/>
      <c r="D87" s="309" t="s">
        <v>231</v>
      </c>
      <c r="E87" s="310">
        <f>IF(ISERROR(VLOOKUP($A87,DECRETI!$A$1:$Z$500,E$4,FALSE)),0,VLOOKUP($A87,DECRETI!$A$1:$Z$500,E$4,FALSE))</f>
        <v>0</v>
      </c>
      <c r="F87" s="310">
        <f>IF(ISERROR(VLOOKUP($A87,DECRETI!$A$1:$Z$500,F$4,FALSE)),0,VLOOKUP($A87,DECRETI!$A$1:$Z$500,F$4,FALSE))</f>
        <v>0</v>
      </c>
      <c r="G87" s="310">
        <f t="shared" si="16"/>
        <v>0</v>
      </c>
      <c r="H87" s="310">
        <f>IF(ISERROR(VLOOKUP($A87,DECRETI!$A$1:$Z$500,H$4,FALSE)),0,VLOOKUP($A87,DECRETI!$A$1:$Z$500,H$4,FALSE))</f>
        <v>0</v>
      </c>
      <c r="I87" s="310">
        <f t="shared" si="17"/>
        <v>0</v>
      </c>
      <c r="J87" s="17"/>
      <c r="K87" s="310">
        <f t="shared" si="18"/>
        <v>0</v>
      </c>
    </row>
    <row r="88" spans="1:11" ht="15.75">
      <c r="A88" s="290" t="str">
        <f t="shared" si="15"/>
        <v>702_TOTRIC_1</v>
      </c>
      <c r="B88" s="296" t="s">
        <v>232</v>
      </c>
      <c r="C88" s="17"/>
      <c r="D88" s="307" t="s">
        <v>233</v>
      </c>
      <c r="E88" s="308">
        <f>IF(ISERROR(VLOOKUP($A88,DECRETI!$A$1:$Z$500,E$4,FALSE)),0,VLOOKUP($A88,DECRETI!$A$1:$Z$500,E$4,FALSE))</f>
        <v>384066.4600000001</v>
      </c>
      <c r="F88" s="308">
        <f>IF(ISERROR(VLOOKUP($A88,DECRETI!$A$1:$Z$500,F$4,FALSE)),0,VLOOKUP($A88,DECRETI!$A$1:$Z$500,F$4,FALSE))</f>
        <v>0</v>
      </c>
      <c r="G88" s="308">
        <f t="shared" si="16"/>
        <v>384066.4600000001</v>
      </c>
      <c r="H88" s="308">
        <f>IF(ISERROR(VLOOKUP($A88,DECRETI!$A$1:$Z$500,H$4,FALSE)),0,VLOOKUP($A88,DECRETI!$A$1:$Z$500,H$4,FALSE))</f>
        <v>1313</v>
      </c>
      <c r="I88" s="308">
        <f t="shared" si="17"/>
        <v>385379.4600000001</v>
      </c>
      <c r="J88" s="17"/>
      <c r="K88" s="308">
        <f t="shared" si="18"/>
        <v>0</v>
      </c>
    </row>
    <row r="89" spans="1:11" ht="15.75">
      <c r="A89" s="290" t="str">
        <f t="shared" si="15"/>
        <v>702_TOTCOS_1</v>
      </c>
      <c r="B89" s="296" t="s">
        <v>234</v>
      </c>
      <c r="C89" s="17"/>
      <c r="D89" s="307" t="s">
        <v>235</v>
      </c>
      <c r="E89" s="308">
        <f>IF(ISERROR(VLOOKUP($A89,DECRETI!$A$1:$Z$500,E$4,FALSE)),0,VLOOKUP($A89,DECRETI!$A$1:$Z$500,E$4,FALSE))</f>
        <v>384066.46</v>
      </c>
      <c r="F89" s="308">
        <f>IF(ISERROR(VLOOKUP($A89,DECRETI!$A$1:$Z$500,F$4,FALSE)),0,VLOOKUP($A89,DECRETI!$A$1:$Z$500,F$4,FALSE))</f>
        <v>0</v>
      </c>
      <c r="G89" s="308">
        <f t="shared" si="16"/>
        <v>384066.46</v>
      </c>
      <c r="H89" s="308">
        <f>IF(ISERROR(VLOOKUP($A89,DECRETI!$A$1:$Z$500,H$4,FALSE)),0,VLOOKUP($A89,DECRETI!$A$1:$Z$500,H$4,FALSE))</f>
        <v>1313</v>
      </c>
      <c r="I89" s="308">
        <f t="shared" si="17"/>
        <v>385379.46</v>
      </c>
      <c r="J89" s="17"/>
      <c r="K89" s="308">
        <f t="shared" si="18"/>
        <v>0</v>
      </c>
    </row>
    <row r="90" spans="1:11" ht="15.75">
      <c r="A90" s="290" t="str">
        <f t="shared" si="15"/>
        <v>702_RISES_1</v>
      </c>
      <c r="B90" s="296" t="s">
        <v>236</v>
      </c>
      <c r="C90" s="17"/>
      <c r="D90" s="307" t="s">
        <v>237</v>
      </c>
      <c r="E90" s="308">
        <f>IF(ISERROR(VLOOKUP($A90,DECRETI!$A$1:$Z$500,E$4,FALSE)),0,VLOOKUP($A90,DECRETI!$A$1:$Z$500,E$4,FALSE))</f>
        <v>0</v>
      </c>
      <c r="F90" s="308">
        <f>IF(ISERROR(VLOOKUP($A90,DECRETI!$A$1:$Z$500,F$4,FALSE)),0,VLOOKUP($A90,DECRETI!$A$1:$Z$500,F$4,FALSE))</f>
        <v>0</v>
      </c>
      <c r="G90" s="308">
        <f t="shared" si="16"/>
        <v>0</v>
      </c>
      <c r="H90" s="308">
        <f>IF(ISERROR(VLOOKUP($A90,DECRETI!$A$1:$Z$500,H$4,FALSE)),0,VLOOKUP($A90,DECRETI!$A$1:$Z$500,H$4,FALSE))</f>
        <v>0</v>
      </c>
      <c r="I90" s="308">
        <f t="shared" si="17"/>
        <v>0</v>
      </c>
      <c r="J90" s="17"/>
      <c r="K90" s="308">
        <f t="shared" si="18"/>
        <v>0</v>
      </c>
    </row>
  </sheetData>
  <sheetProtection password="A01C" sheet="1"/>
  <mergeCells count="13">
    <mergeCell ref="D71:I71"/>
    <mergeCell ref="D72:I72"/>
    <mergeCell ref="D73:I73"/>
    <mergeCell ref="E80:G80"/>
    <mergeCell ref="E5:G5"/>
    <mergeCell ref="D68:I68"/>
    <mergeCell ref="D69:I69"/>
    <mergeCell ref="D74:I74"/>
    <mergeCell ref="D75:I75"/>
    <mergeCell ref="D76:I76"/>
    <mergeCell ref="D77:I77"/>
    <mergeCell ref="D78:I78"/>
    <mergeCell ref="D70:I70"/>
  </mergeCells>
  <printOptions/>
  <pageMargins left="0.7" right="0.7" top="0.75" bottom="0.75" header="0.3" footer="0.3"/>
  <pageSetup fitToHeight="2" fitToWidth="1"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PageLayoutView="0" workbookViewId="0" topLeftCell="B22">
      <selection activeCell="F8" sqref="F8"/>
    </sheetView>
  </sheetViews>
  <sheetFormatPr defaultColWidth="9.140625" defaultRowHeight="15"/>
  <cols>
    <col min="1" max="1" width="19.8515625" style="0" hidden="1" customWidth="1"/>
    <col min="2" max="2" width="23.7109375" style="0" customWidth="1"/>
    <col min="3" max="3" width="33.421875" style="0" customWidth="1"/>
    <col min="4" max="4" width="80.28125" style="0" customWidth="1"/>
    <col min="5" max="5" width="20.8515625" style="0" customWidth="1"/>
    <col min="6" max="6" width="10.8515625" style="0" customWidth="1"/>
  </cols>
  <sheetData>
    <row r="1" spans="1:7" ht="24" thickBot="1">
      <c r="A1" s="414"/>
      <c r="B1" s="81" t="s">
        <v>238</v>
      </c>
      <c r="C1" s="117" t="str">
        <f>Info!$C$2</f>
        <v>ASST SANTI PAOLO E CARLO</v>
      </c>
      <c r="D1" s="82"/>
      <c r="E1" s="83" t="str">
        <f>Info!$B$2</f>
        <v>702</v>
      </c>
      <c r="F1" s="17"/>
      <c r="G1" s="17"/>
    </row>
    <row r="2" spans="1:7" ht="16.5" thickTop="1">
      <c r="A2" s="414"/>
      <c r="B2" s="18"/>
      <c r="C2" s="18"/>
      <c r="D2" s="17"/>
      <c r="E2" s="17"/>
      <c r="F2" s="17"/>
      <c r="G2" s="17"/>
    </row>
    <row r="3" spans="1:7" ht="15.75">
      <c r="A3" s="414"/>
      <c r="B3" s="433" t="s">
        <v>239</v>
      </c>
      <c r="C3" s="433"/>
      <c r="D3" s="19" t="s">
        <v>103</v>
      </c>
      <c r="E3" s="46" t="s">
        <v>240</v>
      </c>
      <c r="F3" s="47" t="s">
        <v>241</v>
      </c>
      <c r="G3" s="47" t="s">
        <v>242</v>
      </c>
    </row>
    <row r="4" spans="1:7" ht="15.75">
      <c r="A4" s="414"/>
      <c r="B4" s="20" t="s">
        <v>243</v>
      </c>
      <c r="C4" s="21" t="s">
        <v>244</v>
      </c>
      <c r="D4" s="21" t="s">
        <v>245</v>
      </c>
      <c r="E4" s="434" t="str">
        <f>Info!$B$5&amp;" "&amp;Info!$B$3</f>
        <v>Preventivo 2016</v>
      </c>
      <c r="F4" s="435"/>
      <c r="G4" s="436"/>
    </row>
    <row r="5" spans="1:7" ht="15.75">
      <c r="A5" s="414" t="s">
        <v>246</v>
      </c>
      <c r="B5" s="23" t="s">
        <v>247</v>
      </c>
      <c r="C5" s="24" t="s">
        <v>248</v>
      </c>
      <c r="D5" s="25" t="s">
        <v>249</v>
      </c>
      <c r="E5" s="260">
        <f>IF(ISERROR(VLOOKUP("TAB1_"&amp;$E$1&amp;"_"&amp;$A5,ASSEGN!$A$1:$Z$200,6,FALSE)),0,VLOOKUP("TAB1_"&amp;$E$1&amp;"_"&amp;$A5,ASSEGN!$A$1:$Z$200,6,FALSE))</f>
        <v>41293.317324</v>
      </c>
      <c r="F5" s="260">
        <f>IF(ISERROR(VLOOKUP("TAB1_"&amp;$E$1&amp;"_"&amp;$A5,ASSEGN!$A$1:$Z$200,7,FALSE)),0,VLOOKUP("TAB1_"&amp;$E$1&amp;"_"&amp;$A5,ASSEGN!$A$1:$Z$200,7,FALSE))</f>
        <v>0</v>
      </c>
      <c r="G5" s="265">
        <f>+E5+F5</f>
        <v>41293.317324</v>
      </c>
    </row>
    <row r="6" spans="1:7" ht="15.75">
      <c r="A6" s="414" t="s">
        <v>250</v>
      </c>
      <c r="B6" s="26" t="s">
        <v>251</v>
      </c>
      <c r="C6" s="415" t="s">
        <v>252</v>
      </c>
      <c r="D6" s="27" t="s">
        <v>253</v>
      </c>
      <c r="E6" s="261">
        <f>IF(ISERROR(VLOOKUP("TAB1_"&amp;$E$1&amp;"_"&amp;$A6,ASSEGN!$A$1:$Z$200,6,FALSE)),0,VLOOKUP("TAB1_"&amp;$E$1&amp;"_"&amp;$A6,ASSEGN!$A$1:$Z$200,6,FALSE))</f>
        <v>26486.222353</v>
      </c>
      <c r="F6" s="262">
        <f>IF(ISERROR(VLOOKUP("TAB1_"&amp;$E$1&amp;"_"&amp;$A6,ASSEGN!$A$1:$Z$200,7,FALSE)),0,VLOOKUP("TAB1_"&amp;$E$1&amp;"_"&amp;$A6,ASSEGN!$A$1:$Z$200,7,FALSE))</f>
        <v>0</v>
      </c>
      <c r="G6" s="262">
        <f>+E6+F6</f>
        <v>26486.222353</v>
      </c>
    </row>
    <row r="7" spans="1:7" ht="15.75">
      <c r="A7" s="414" t="s">
        <v>254</v>
      </c>
      <c r="B7" s="29"/>
      <c r="C7" s="30"/>
      <c r="D7" s="88" t="s">
        <v>118</v>
      </c>
      <c r="E7" s="266">
        <f>IF(ISERROR(VLOOKUP("TAB1_"&amp;$E$1&amp;"_"&amp;$A7,ASSEGN!$A$1:$Z$200,6,FALSE)),0,VLOOKUP("TAB1_"&amp;$E$1&amp;"_"&amp;$A7,ASSEGN!$A$1:$Z$200,6,FALSE))</f>
        <v>33107.320323</v>
      </c>
      <c r="F7" s="267">
        <f>IF(ISERROR(VLOOKUP("TAB1_"&amp;$E$1&amp;"_"&amp;$A7,ASSEGN!$A$1:$Z$200,7,FALSE)),0,VLOOKUP("TAB1_"&amp;$E$1&amp;"_"&amp;$A7,ASSEGN!$A$1:$Z$200,7,FALSE))</f>
        <v>0</v>
      </c>
      <c r="G7" s="267">
        <f>+E7+F7</f>
        <v>33107.320323</v>
      </c>
    </row>
    <row r="8" spans="1:7" ht="15">
      <c r="A8" s="414" t="s">
        <v>255</v>
      </c>
      <c r="B8" s="26" t="s">
        <v>256</v>
      </c>
      <c r="C8" s="415" t="s">
        <v>257</v>
      </c>
      <c r="D8" s="416" t="s">
        <v>258</v>
      </c>
      <c r="E8" s="263">
        <f>IF(ISERROR(VLOOKUP("TAB1_"&amp;$E$1&amp;"_"&amp;$A8,ASSEGN!$A$1:$Z$200,6,FALSE)),0,VLOOKUP("TAB1_"&amp;$E$1&amp;"_"&amp;$A8,ASSEGN!$A$1:$Z$200,6,FALSE))</f>
        <v>8540</v>
      </c>
      <c r="F8" s="264">
        <f>IF(ISERROR(VLOOKUP("TAB1_"&amp;$E$1&amp;"_"&amp;$A8,ASSEGN!$A$1:$Z$200,7,FALSE)),0,VLOOKUP("TAB1_"&amp;$E$1&amp;"_"&amp;$A8,ASSEGN!$A$1:$Z$200,7,FALSE))</f>
        <v>0</v>
      </c>
      <c r="G8" s="264">
        <f aca="true" t="shared" si="0" ref="G8:G27">+E8+F8</f>
        <v>8540</v>
      </c>
    </row>
    <row r="9" spans="1:7" ht="15">
      <c r="A9" s="414" t="s">
        <v>259</v>
      </c>
      <c r="B9" s="26" t="s">
        <v>256</v>
      </c>
      <c r="C9" s="415" t="s">
        <v>257</v>
      </c>
      <c r="D9" s="416" t="s">
        <v>260</v>
      </c>
      <c r="E9" s="263">
        <f>IF(ISERROR(VLOOKUP("TAB1_"&amp;$E$1&amp;"_"&amp;$A9,ASSEGN!$A$1:$Z$200,6,FALSE)),0,VLOOKUP("TAB1_"&amp;$E$1&amp;"_"&amp;$A9,ASSEGN!$A$1:$Z$200,6,FALSE))</f>
        <v>1914.78</v>
      </c>
      <c r="F9" s="264">
        <f>IF(ISERROR(VLOOKUP("TAB1_"&amp;$E$1&amp;"_"&amp;$A9,ASSEGN!$A$1:$Z$200,7,FALSE)),0,VLOOKUP("TAB1_"&amp;$E$1&amp;"_"&amp;$A9,ASSEGN!$A$1:$Z$200,7,FALSE))</f>
        <v>0</v>
      </c>
      <c r="G9" s="264">
        <f t="shared" si="0"/>
        <v>1914.78</v>
      </c>
    </row>
    <row r="10" spans="1:7" ht="15">
      <c r="A10" s="414" t="s">
        <v>261</v>
      </c>
      <c r="B10" s="26" t="s">
        <v>256</v>
      </c>
      <c r="C10" s="415" t="s">
        <v>257</v>
      </c>
      <c r="D10" s="416" t="s">
        <v>262</v>
      </c>
      <c r="E10" s="263">
        <f>IF(ISERROR(VLOOKUP("TAB1_"&amp;$E$1&amp;"_"&amp;$A10,ASSEGN!$A$1:$Z$200,6,FALSE)),0,VLOOKUP("TAB1_"&amp;$E$1&amp;"_"&amp;$A10,ASSEGN!$A$1:$Z$200,6,FALSE))</f>
        <v>11878.522893</v>
      </c>
      <c r="F10" s="264">
        <f>IF(ISERROR(VLOOKUP("TAB1_"&amp;$E$1&amp;"_"&amp;$A10,ASSEGN!$A$1:$Z$200,7,FALSE)),0,VLOOKUP("TAB1_"&amp;$E$1&amp;"_"&amp;$A10,ASSEGN!$A$1:$Z$200,7,FALSE))</f>
        <v>0</v>
      </c>
      <c r="G10" s="264">
        <f t="shared" si="0"/>
        <v>11878.522893</v>
      </c>
    </row>
    <row r="11" spans="1:7" ht="15">
      <c r="A11" s="414" t="s">
        <v>263</v>
      </c>
      <c r="B11" s="26" t="s">
        <v>256</v>
      </c>
      <c r="C11" s="415" t="s">
        <v>257</v>
      </c>
      <c r="D11" s="28" t="s">
        <v>264</v>
      </c>
      <c r="E11" s="263">
        <f>IF(ISERROR(VLOOKUP("TAB1_"&amp;$E$1&amp;"_"&amp;$A11,ASSEGN!$A$1:$Z$200,6,FALSE)),0,VLOOKUP("TAB1_"&amp;$E$1&amp;"_"&amp;$A11,ASSEGN!$A$1:$Z$200,6,FALSE))</f>
        <v>394.21147577</v>
      </c>
      <c r="F11" s="264">
        <f>IF(ISERROR(VLOOKUP("TAB1_"&amp;$E$1&amp;"_"&amp;$A11,ASSEGN!$A$1:$Z$200,7,FALSE)),0,VLOOKUP("TAB1_"&amp;$E$1&amp;"_"&amp;$A11,ASSEGN!$A$1:$Z$200,7,FALSE))</f>
        <v>0</v>
      </c>
      <c r="G11" s="264">
        <f t="shared" si="0"/>
        <v>394.21147577</v>
      </c>
    </row>
    <row r="12" spans="1:7" ht="15">
      <c r="A12" s="414" t="s">
        <v>265</v>
      </c>
      <c r="B12" s="26" t="s">
        <v>256</v>
      </c>
      <c r="C12" s="415" t="s">
        <v>257</v>
      </c>
      <c r="D12" s="416" t="s">
        <v>266</v>
      </c>
      <c r="E12" s="263">
        <f>IF(ISERROR(VLOOKUP("TAB1_"&amp;$E$1&amp;"_"&amp;$A12,ASSEGN!$A$1:$Z$200,6,FALSE)),0,VLOOKUP("TAB1_"&amp;$E$1&amp;"_"&amp;$A12,ASSEGN!$A$1:$Z$200,6,FALSE))</f>
        <v>3789.8183588</v>
      </c>
      <c r="F12" s="264">
        <f>IF(ISERROR(VLOOKUP("TAB1_"&amp;$E$1&amp;"_"&amp;$A12,ASSEGN!$A$1:$Z$200,7,FALSE)),0,VLOOKUP("TAB1_"&amp;$E$1&amp;"_"&amp;$A12,ASSEGN!$A$1:$Z$200,7,FALSE))</f>
        <v>0</v>
      </c>
      <c r="G12" s="264">
        <f t="shared" si="0"/>
        <v>3789.8183588</v>
      </c>
    </row>
    <row r="13" spans="1:7" ht="15">
      <c r="A13" s="414" t="s">
        <v>267</v>
      </c>
      <c r="B13" s="417" t="s">
        <v>256</v>
      </c>
      <c r="C13" s="415" t="s">
        <v>257</v>
      </c>
      <c r="D13" s="416" t="s">
        <v>268</v>
      </c>
      <c r="E13" s="263">
        <f>IF(ISERROR(VLOOKUP("TAB1_"&amp;$E$1&amp;"_"&amp;$A13,ASSEGN!$A$1:$Z$200,6,FALSE)),0,VLOOKUP("TAB1_"&amp;$E$1&amp;"_"&amp;$A13,ASSEGN!$A$1:$Z$200,6,FALSE))</f>
        <v>0</v>
      </c>
      <c r="F13" s="264">
        <f>IF(ISERROR(VLOOKUP("TAB1_"&amp;$E$1&amp;"_"&amp;$A13,ASSEGN!$A$1:$Z$200,7,FALSE)),0,VLOOKUP("TAB1_"&amp;$E$1&amp;"_"&amp;$A13,ASSEGN!$A$1:$Z$200,7,FALSE))</f>
        <v>0</v>
      </c>
      <c r="G13" s="264">
        <f t="shared" si="0"/>
        <v>0</v>
      </c>
    </row>
    <row r="14" spans="1:7" ht="15">
      <c r="A14" s="414" t="s">
        <v>269</v>
      </c>
      <c r="B14" s="26" t="s">
        <v>256</v>
      </c>
      <c r="C14" s="415" t="s">
        <v>257</v>
      </c>
      <c r="D14" s="416" t="s">
        <v>270</v>
      </c>
      <c r="E14" s="263">
        <f>IF(ISERROR(VLOOKUP("TAB1_"&amp;$E$1&amp;"_"&amp;$A14,ASSEGN!$A$1:$Z$200,6,FALSE)),0,VLOOKUP("TAB1_"&amp;$E$1&amp;"_"&amp;$A14,ASSEGN!$A$1:$Z$200,6,FALSE))</f>
        <v>2674</v>
      </c>
      <c r="F14" s="264">
        <f>IF(ISERROR(VLOOKUP("TAB1_"&amp;$E$1&amp;"_"&amp;$A14,ASSEGN!$A$1:$Z$200,7,FALSE)),0,VLOOKUP("TAB1_"&amp;$E$1&amp;"_"&amp;$A14,ASSEGN!$A$1:$Z$200,7,FALSE))</f>
        <v>0</v>
      </c>
      <c r="G14" s="264">
        <f t="shared" si="0"/>
        <v>2674</v>
      </c>
    </row>
    <row r="15" spans="1:7" ht="15">
      <c r="A15" s="414" t="s">
        <v>271</v>
      </c>
      <c r="B15" s="26" t="s">
        <v>256</v>
      </c>
      <c r="C15" s="415" t="s">
        <v>257</v>
      </c>
      <c r="D15" s="416" t="s">
        <v>272</v>
      </c>
      <c r="E15" s="263">
        <f>IF(ISERROR(VLOOKUP("TAB1_"&amp;$E$1&amp;"_"&amp;$A15,ASSEGN!$A$1:$Z$200,6,FALSE)),0,VLOOKUP("TAB1_"&amp;$E$1&amp;"_"&amp;$A15,ASSEGN!$A$1:$Z$200,6,FALSE))</f>
        <v>0</v>
      </c>
      <c r="F15" s="264">
        <f>IF(ISERROR(VLOOKUP("TAB1_"&amp;$E$1&amp;"_"&amp;$A15,ASSEGN!$A$1:$Z$200,7,FALSE)),0,VLOOKUP("TAB1_"&amp;$E$1&amp;"_"&amp;$A15,ASSEGN!$A$1:$Z$200,7,FALSE))</f>
        <v>0</v>
      </c>
      <c r="G15" s="264">
        <f t="shared" si="0"/>
        <v>0</v>
      </c>
    </row>
    <row r="16" spans="1:7" ht="15">
      <c r="A16" s="414" t="s">
        <v>273</v>
      </c>
      <c r="B16" s="417" t="s">
        <v>256</v>
      </c>
      <c r="C16" s="415" t="s">
        <v>257</v>
      </c>
      <c r="D16" s="416" t="s">
        <v>274</v>
      </c>
      <c r="E16" s="263">
        <f>IF(ISERROR(VLOOKUP("TAB1_"&amp;$E$1&amp;"_"&amp;$A16,ASSEGN!$A$1:$Z$200,6,FALSE)),0,VLOOKUP("TAB1_"&amp;$E$1&amp;"_"&amp;$A16,ASSEGN!$A$1:$Z$200,6,FALSE))</f>
        <v>0</v>
      </c>
      <c r="F16" s="264">
        <f>IF(ISERROR(VLOOKUP("TAB1_"&amp;$E$1&amp;"_"&amp;$A16,ASSEGN!$A$1:$Z$200,7,FALSE)),0,VLOOKUP("TAB1_"&amp;$E$1&amp;"_"&amp;$A16,ASSEGN!$A$1:$Z$200,7,FALSE))</f>
        <v>0</v>
      </c>
      <c r="G16" s="264">
        <f t="shared" si="0"/>
        <v>0</v>
      </c>
    </row>
    <row r="17" spans="1:7" ht="15">
      <c r="A17" s="414" t="s">
        <v>275</v>
      </c>
      <c r="B17" s="26" t="s">
        <v>256</v>
      </c>
      <c r="C17" s="415" t="s">
        <v>257</v>
      </c>
      <c r="D17" s="416" t="s">
        <v>276</v>
      </c>
      <c r="E17" s="263">
        <f>IF(ISERROR(VLOOKUP("TAB1_"&amp;$E$1&amp;"_"&amp;$A17,ASSEGN!$A$1:$Z$200,6,FALSE)),0,VLOOKUP("TAB1_"&amp;$E$1&amp;"_"&amp;$A17,ASSEGN!$A$1:$Z$200,6,FALSE))</f>
        <v>0</v>
      </c>
      <c r="F17" s="264">
        <f>IF(ISERROR(VLOOKUP("TAB1_"&amp;$E$1&amp;"_"&amp;$A17,ASSEGN!$A$1:$Z$200,7,FALSE)),0,VLOOKUP("TAB1_"&amp;$E$1&amp;"_"&amp;$A17,ASSEGN!$A$1:$Z$200,7,FALSE))</f>
        <v>0</v>
      </c>
      <c r="G17" s="264">
        <f t="shared" si="0"/>
        <v>0</v>
      </c>
    </row>
    <row r="18" spans="1:7" ht="15">
      <c r="A18" s="414" t="s">
        <v>277</v>
      </c>
      <c r="B18" s="417" t="s">
        <v>256</v>
      </c>
      <c r="C18" s="415" t="s">
        <v>257</v>
      </c>
      <c r="D18" s="28" t="s">
        <v>278</v>
      </c>
      <c r="E18" s="263">
        <f>IF(ISERROR(VLOOKUP("TAB1_"&amp;$E$1&amp;"_"&amp;$A18,ASSEGN!$A$1:$Z$200,6,FALSE)),0,VLOOKUP("TAB1_"&amp;$E$1&amp;"_"&amp;$A18,ASSEGN!$A$1:$Z$200,6,FALSE))</f>
        <v>3915.9875953</v>
      </c>
      <c r="F18" s="264">
        <f>IF(ISERROR(VLOOKUP("TAB1_"&amp;$E$1&amp;"_"&amp;$A18,ASSEGN!$A$1:$Z$200,7,FALSE)),0,VLOOKUP("TAB1_"&amp;$E$1&amp;"_"&amp;$A18,ASSEGN!$A$1:$Z$200,7,FALSE))</f>
        <v>0</v>
      </c>
      <c r="G18" s="264">
        <f t="shared" si="0"/>
        <v>3915.9875953</v>
      </c>
    </row>
    <row r="19" spans="1:7" ht="15">
      <c r="A19" s="414" t="s">
        <v>279</v>
      </c>
      <c r="B19" s="417" t="s">
        <v>256</v>
      </c>
      <c r="C19" s="415" t="s">
        <v>257</v>
      </c>
      <c r="D19" s="416" t="s">
        <v>280</v>
      </c>
      <c r="E19" s="263">
        <f>IF(ISERROR(VLOOKUP("TAB1_"&amp;$E$1&amp;"_"&amp;$A19,ASSEGN!$A$1:$Z$200,6,FALSE)),0,VLOOKUP("TAB1_"&amp;$E$1&amp;"_"&amp;$A19,ASSEGN!$A$1:$Z$200,6,FALSE))</f>
        <v>0</v>
      </c>
      <c r="F19" s="264">
        <f>IF(ISERROR(VLOOKUP("TAB1_"&amp;$E$1&amp;"_"&amp;$A19,ASSEGN!$A$1:$Z$200,7,FALSE)),0,VLOOKUP("TAB1_"&amp;$E$1&amp;"_"&amp;$A19,ASSEGN!$A$1:$Z$200,7,FALSE))</f>
        <v>0</v>
      </c>
      <c r="G19" s="264">
        <f>+E19+F19</f>
        <v>0</v>
      </c>
    </row>
    <row r="20" spans="1:7" ht="31.5">
      <c r="A20" s="414" t="s">
        <v>281</v>
      </c>
      <c r="B20" s="26" t="s">
        <v>256</v>
      </c>
      <c r="C20" s="415" t="s">
        <v>282</v>
      </c>
      <c r="D20" s="413" t="s">
        <v>283</v>
      </c>
      <c r="E20" s="263">
        <f>IF(ISERROR(VLOOKUP("TAB1_"&amp;$E$1&amp;"_"&amp;$A20,ASSEGN!$A$1:$Z$200,6,FALSE)),0,VLOOKUP("TAB1_"&amp;$E$1&amp;"_"&amp;$A20,ASSEGN!$A$1:$Z$200,6,FALSE))</f>
        <v>0</v>
      </c>
      <c r="F20" s="264">
        <f>IF(ISERROR(VLOOKUP("TAB1_"&amp;$E$1&amp;"_"&amp;$A20,ASSEGN!$A$1:$Z$200,7,FALSE)),0,VLOOKUP("TAB1_"&amp;$E$1&amp;"_"&amp;$A20,ASSEGN!$A$1:$Z$200,7,FALSE))</f>
        <v>0</v>
      </c>
      <c r="G20" s="264">
        <f>+E20+F20</f>
        <v>0</v>
      </c>
    </row>
    <row r="21" spans="1:7" ht="15.75">
      <c r="A21" s="414" t="s">
        <v>284</v>
      </c>
      <c r="B21" s="29"/>
      <c r="C21" s="30"/>
      <c r="D21" s="31" t="s">
        <v>112</v>
      </c>
      <c r="E21" s="268">
        <f>IF(ISERROR(VLOOKUP("TAB1_"&amp;$E$1&amp;"_"&amp;$A21,ASSEGN!$A$1:$Z$200,6,FALSE)),0,VLOOKUP("TAB1_"&amp;$E$1&amp;"_"&amp;$A21,ASSEGN!$A$1:$Z$200,6,FALSE))</f>
        <v>100886.86</v>
      </c>
      <c r="F21" s="268">
        <f>IF(ISERROR(VLOOKUP("TAB1_"&amp;$E$1&amp;"_"&amp;$A21,ASSEGN!$A$1:$Z$200,6,FALSE)),0,VLOOKUP("TAB1_"&amp;$E$1&amp;"_"&amp;$A21,ASSEGN!$A$1:$Z$200,7,FALSE))</f>
        <v>0</v>
      </c>
      <c r="G21" s="269">
        <f t="shared" si="0"/>
        <v>100886.86</v>
      </c>
    </row>
    <row r="22" spans="1:7" ht="15">
      <c r="A22" s="414" t="s">
        <v>285</v>
      </c>
      <c r="B22" s="26" t="s">
        <v>286</v>
      </c>
      <c r="C22" s="415" t="s">
        <v>287</v>
      </c>
      <c r="D22" s="416" t="s">
        <v>288</v>
      </c>
      <c r="E22" s="263">
        <f>IF(ISERROR(VLOOKUP("TAB1_"&amp;$E$1&amp;"_"&amp;$A22,ASSEGN!$A$1:$Z$200,6,FALSE)),0,VLOOKUP("TAB1_"&amp;$E$1&amp;"_"&amp;$A22,ASSEGN!$A$1:$Z$200,6,FALSE))</f>
        <v>0</v>
      </c>
      <c r="F22" s="264">
        <f>IF(ISERROR(VLOOKUP("TAB1_"&amp;$E$1&amp;"_"&amp;$A22,ASSEGN!$A$1:$Z$200,7,FALSE)),0,VLOOKUP("TAB1_"&amp;$E$1&amp;"_"&amp;$A22,ASSEGN!$A$1:$Z$200,7,FALSE))</f>
        <v>0</v>
      </c>
      <c r="G22" s="264">
        <f t="shared" si="0"/>
        <v>0</v>
      </c>
    </row>
    <row r="23" spans="1:7" ht="15">
      <c r="A23" s="414" t="s">
        <v>289</v>
      </c>
      <c r="B23" s="26" t="s">
        <v>286</v>
      </c>
      <c r="C23" s="415" t="s">
        <v>287</v>
      </c>
      <c r="D23" s="416" t="s">
        <v>290</v>
      </c>
      <c r="E23" s="263">
        <f>IF(ISERROR(VLOOKUP("TAB1_"&amp;$E$1&amp;"_"&amp;$A23,ASSEGN!$A$1:$Z$200,6,FALSE)),0,VLOOKUP("TAB1_"&amp;$E$1&amp;"_"&amp;$A23,ASSEGN!$A$1:$Z$200,6,FALSE))</f>
        <v>0</v>
      </c>
      <c r="F23" s="264">
        <f>IF(ISERROR(VLOOKUP("TAB1_"&amp;$E$1&amp;"_"&amp;$A23,ASSEGN!$A$1:$Z$200,7,FALSE)),0,VLOOKUP("TAB1_"&amp;$E$1&amp;"_"&amp;$A23,ASSEGN!$A$1:$Z$200,7,FALSE))</f>
        <v>0</v>
      </c>
      <c r="G23" s="264">
        <f t="shared" si="0"/>
        <v>0</v>
      </c>
    </row>
    <row r="24" spans="1:7" ht="15">
      <c r="A24" s="414" t="s">
        <v>291</v>
      </c>
      <c r="B24" s="26" t="s">
        <v>286</v>
      </c>
      <c r="C24" s="415" t="s">
        <v>287</v>
      </c>
      <c r="D24" s="416" t="s">
        <v>292</v>
      </c>
      <c r="E24" s="263">
        <f>IF(ISERROR(VLOOKUP("TAB1_"&amp;$E$1&amp;"_"&amp;$A24,ASSEGN!$A$1:$Z$200,6,FALSE)),0,VLOOKUP("TAB1_"&amp;$E$1&amp;"_"&amp;$A24,ASSEGN!$A$1:$Z$200,6,FALSE))</f>
        <v>0</v>
      </c>
      <c r="F24" s="264">
        <f>IF(ISERROR(VLOOKUP("TAB1_"&amp;$E$1&amp;"_"&amp;$A24,ASSEGN!$A$1:$Z$200,7,FALSE)),0,VLOOKUP("TAB1_"&amp;$E$1&amp;"_"&amp;$A24,ASSEGN!$A$1:$Z$200,7,FALSE))</f>
        <v>0</v>
      </c>
      <c r="G24" s="264">
        <f t="shared" si="0"/>
        <v>0</v>
      </c>
    </row>
    <row r="25" spans="1:7" ht="15.75">
      <c r="A25" s="414" t="s">
        <v>293</v>
      </c>
      <c r="B25" s="32"/>
      <c r="C25" s="33"/>
      <c r="D25" s="34" t="s">
        <v>121</v>
      </c>
      <c r="E25" s="270">
        <f>IF(ISERROR(VLOOKUP("TAB1_"&amp;$E$1&amp;"_"&amp;$A25,ASSEGN!$A$1:$Z$200,6,FALSE)),0,VLOOKUP("TAB1_"&amp;$E$1&amp;"_"&amp;$A25,ASSEGN!$A$1:$Z$200,6,FALSE))</f>
        <v>0</v>
      </c>
      <c r="F25" s="271">
        <f>IF(ISERROR(VLOOKUP("TAB1_"&amp;$E$1&amp;"_"&amp;$A25,ASSEGN!$A$1:$Z$200,7,FALSE)),0,VLOOKUP("TAB1_"&amp;$E$1&amp;"_"&amp;$A25,ASSEGN!$A$1:$Z$200,7,FALSE))</f>
        <v>0</v>
      </c>
      <c r="G25" s="269">
        <f t="shared" si="0"/>
        <v>0</v>
      </c>
    </row>
    <row r="26" spans="1:7" ht="15">
      <c r="A26" s="414" t="s">
        <v>294</v>
      </c>
      <c r="B26" s="26" t="s">
        <v>295</v>
      </c>
      <c r="C26" s="415" t="s">
        <v>296</v>
      </c>
      <c r="D26" s="416" t="s">
        <v>297</v>
      </c>
      <c r="E26" s="263">
        <f>IF(ISERROR(VLOOKUP("TAB1_"&amp;$E$1&amp;"_"&amp;$A26,ASSEGN!$A$1:$Z$200,6,FALSE)),0,VLOOKUP("TAB1_"&amp;$E$1&amp;"_"&amp;$A26,ASSEGN!$A$1:$Z$200,6,FALSE))</f>
        <v>0</v>
      </c>
      <c r="F26" s="264">
        <f>IF(ISERROR(VLOOKUP("TAB1_"&amp;$E$1&amp;"_"&amp;$A26,ASSEGN!$A$1:$Z$200,7,FALSE)),0,VLOOKUP("TAB1_"&amp;$E$1&amp;"_"&amp;$A26,ASSEGN!$A$1:$Z$200,7,FALSE))</f>
        <v>0</v>
      </c>
      <c r="G26" s="264">
        <f t="shared" si="0"/>
        <v>0</v>
      </c>
    </row>
    <row r="27" spans="1:7" ht="15.75">
      <c r="A27" s="414" t="s">
        <v>298</v>
      </c>
      <c r="B27" s="35"/>
      <c r="C27" s="36"/>
      <c r="D27" s="37" t="s">
        <v>123</v>
      </c>
      <c r="E27" s="272">
        <f>IF(ISERROR(VLOOKUP("TAB1_"&amp;$E$1&amp;"_"&amp;$A27,ASSEGN!$A$1:$Z$200,6,FALSE)),0,VLOOKUP("TAB1_"&amp;$E$1&amp;"_"&amp;$A27,ASSEGN!$A$1:$Z$200,6,FALSE))</f>
        <v>0</v>
      </c>
      <c r="F27" s="273">
        <f>IF(ISERROR(VLOOKUP("TAB1_"&amp;$E$1&amp;"_"&amp;$A27,ASSEGN!$A$1:$Z$200,7,FALSE)),0,VLOOKUP("TAB1_"&amp;$E$1&amp;"_"&amp;$A27,ASSEGN!$A$1:$Z$200,7,FALSE))</f>
        <v>0</v>
      </c>
      <c r="G27" s="273">
        <f t="shared" si="0"/>
        <v>0</v>
      </c>
    </row>
    <row r="28" spans="1:7" ht="15.75">
      <c r="A28" s="414"/>
      <c r="B28" s="17"/>
      <c r="C28" s="17"/>
      <c r="D28" s="17"/>
      <c r="E28" s="17"/>
      <c r="F28" s="17"/>
      <c r="G28" s="17"/>
    </row>
    <row r="29" spans="1:7" ht="15.75">
      <c r="A29" s="414"/>
      <c r="B29" s="17"/>
      <c r="C29" s="18"/>
      <c r="D29" s="17"/>
      <c r="E29" s="17"/>
      <c r="F29" s="17"/>
      <c r="G29" s="17"/>
    </row>
    <row r="30" spans="1:7" ht="25.5">
      <c r="A30" s="414"/>
      <c r="B30" s="433" t="s">
        <v>239</v>
      </c>
      <c r="C30" s="433"/>
      <c r="D30" s="38"/>
      <c r="E30" s="39" t="s">
        <v>103</v>
      </c>
      <c r="F30" s="17"/>
      <c r="G30" s="17"/>
    </row>
    <row r="31" spans="1:7" ht="15.75">
      <c r="A31" s="414" t="s">
        <v>299</v>
      </c>
      <c r="B31" s="422" t="s">
        <v>243</v>
      </c>
      <c r="C31" s="422" t="s">
        <v>300</v>
      </c>
      <c r="D31" s="40" t="s">
        <v>245</v>
      </c>
      <c r="E31" s="22" t="str">
        <f>E4</f>
        <v>Preventivo 2016</v>
      </c>
      <c r="F31" s="17"/>
      <c r="G31" s="17"/>
    </row>
    <row r="32" spans="1:7" ht="15.75" customHeight="1">
      <c r="A32" s="414" t="s">
        <v>301</v>
      </c>
      <c r="B32" s="41" t="s">
        <v>302</v>
      </c>
      <c r="C32" s="41" t="s">
        <v>303</v>
      </c>
      <c r="D32" s="437" t="s">
        <v>304</v>
      </c>
      <c r="E32" s="439">
        <f>IF(ISERROR(VLOOKUP("TAB1_"&amp;$E$1&amp;"_"&amp;$A32,ASSEGN!$A$1:$Z$200,6,FALSE)),0,VLOOKUP("TAB1_"&amp;$E$1&amp;"_"&amp;$A32,ASSEGN!$A$1:$Z$200,6,FALSE))</f>
        <v>0</v>
      </c>
      <c r="F32" s="17"/>
      <c r="G32" s="17"/>
    </row>
    <row r="33" spans="2:7" ht="78.75">
      <c r="B33" s="42" t="s">
        <v>305</v>
      </c>
      <c r="C33" s="43" t="s">
        <v>306</v>
      </c>
      <c r="D33" s="438"/>
      <c r="E33" s="440">
        <f>IF(ISERROR(VLOOKUP("TAB1_"&amp;$E$1&amp;"_"&amp;$A33,#REF!,6,FALSE)),0,VLOOKUP("TAB1_"&amp;$E$1&amp;"_"&amp;$A33,#REF!,6,FALSE))</f>
        <v>0</v>
      </c>
      <c r="F33" s="17"/>
      <c r="G33" s="17"/>
    </row>
  </sheetData>
  <sheetProtection password="A01C" sheet="1"/>
  <mergeCells count="5">
    <mergeCell ref="B3:C3"/>
    <mergeCell ref="E4:G4"/>
    <mergeCell ref="B30:C30"/>
    <mergeCell ref="D32:D33"/>
    <mergeCell ref="E32:E33"/>
  </mergeCells>
  <printOptions/>
  <pageMargins left="0.7" right="0.7" top="0.75" bottom="0.75" header="0.3" footer="0.3"/>
  <pageSetup fitToHeight="1" fitToWidth="1" horizontalDpi="600" verticalDpi="600" orientation="landscape" paperSize="9" scale="77" r:id="rId1"/>
  <headerFooter>
    <oddHeader>&amp;L&amp;14Piano di cassa dei flussi prospettici&amp;R&amp;14&amp;D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5"/>
  <sheetViews>
    <sheetView showGridLines="0" tabSelected="1" zoomScale="50" zoomScaleNormal="50" zoomScaleSheetLayoutView="30" zoomScalePageLayoutView="0" workbookViewId="0" topLeftCell="B1">
      <pane xSplit="1" ySplit="8" topLeftCell="AM15" activePane="bottomRight" state="frozen"/>
      <selection pane="topLeft" activeCell="B1" sqref="B1"/>
      <selection pane="topRight" activeCell="C1" sqref="C1"/>
      <selection pane="bottomLeft" activeCell="B9" sqref="B9"/>
      <selection pane="bottomRight" activeCell="AN20" sqref="AN20"/>
    </sheetView>
  </sheetViews>
  <sheetFormatPr defaultColWidth="9.140625" defaultRowHeight="15"/>
  <cols>
    <col min="1" max="1" width="14.7109375" style="11" hidden="1" customWidth="1"/>
    <col min="2" max="2" width="201.28125" style="10" customWidth="1"/>
    <col min="3" max="42" width="25.7109375" style="6" customWidth="1"/>
    <col min="43" max="45" width="25.7109375" style="11" customWidth="1"/>
    <col min="46" max="16384" width="9.140625" style="11" customWidth="1"/>
  </cols>
  <sheetData>
    <row r="1" spans="3:42" s="8" customFormat="1" ht="18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42" s="8" customFormat="1" ht="18.75">
      <c r="B2" s="130" t="s">
        <v>307</v>
      </c>
      <c r="C2" s="131" t="s">
        <v>308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3" ht="26.25">
      <c r="B3" s="132" t="str">
        <f>Info!$C$2</f>
        <v>ASST SANTI PAOLO E CARLO</v>
      </c>
      <c r="C3" s="132" t="str">
        <f>Info!$B$2</f>
        <v>702</v>
      </c>
    </row>
    <row r="6" spans="3:45" ht="26.25">
      <c r="C6" s="441" t="s">
        <v>309</v>
      </c>
      <c r="D6" s="442"/>
      <c r="E6" s="442"/>
      <c r="F6" s="442"/>
      <c r="G6" s="442"/>
      <c r="H6" s="442"/>
      <c r="I6" s="442"/>
      <c r="J6" s="442"/>
      <c r="K6" s="442"/>
      <c r="L6" s="443"/>
      <c r="M6" s="441" t="s">
        <v>310</v>
      </c>
      <c r="N6" s="442"/>
      <c r="O6" s="442"/>
      <c r="P6" s="442"/>
      <c r="Q6" s="442"/>
      <c r="R6" s="442"/>
      <c r="S6" s="442"/>
      <c r="T6" s="442"/>
      <c r="U6" s="442"/>
      <c r="V6" s="443"/>
      <c r="W6" s="441" t="s">
        <v>311</v>
      </c>
      <c r="X6" s="442"/>
      <c r="Y6" s="442"/>
      <c r="Z6" s="442"/>
      <c r="AA6" s="442"/>
      <c r="AB6" s="442"/>
      <c r="AC6" s="442"/>
      <c r="AD6" s="442"/>
      <c r="AE6" s="442"/>
      <c r="AF6" s="443"/>
      <c r="AG6" s="441" t="s">
        <v>312</v>
      </c>
      <c r="AH6" s="442"/>
      <c r="AI6" s="442"/>
      <c r="AJ6" s="442"/>
      <c r="AK6" s="442"/>
      <c r="AL6" s="442"/>
      <c r="AM6" s="442"/>
      <c r="AN6" s="442"/>
      <c r="AO6" s="442"/>
      <c r="AP6" s="443"/>
      <c r="AQ6" s="456" t="s">
        <v>313</v>
      </c>
      <c r="AR6" s="450" t="s">
        <v>314</v>
      </c>
      <c r="AS6" s="453" t="s">
        <v>315</v>
      </c>
    </row>
    <row r="7" spans="2:45" s="1" customFormat="1" ht="55.5" customHeight="1">
      <c r="B7" s="447" t="s">
        <v>316</v>
      </c>
      <c r="C7" s="445" t="s">
        <v>317</v>
      </c>
      <c r="D7" s="445"/>
      <c r="E7" s="445"/>
      <c r="F7" s="445" t="s">
        <v>318</v>
      </c>
      <c r="G7" s="445"/>
      <c r="H7" s="445"/>
      <c r="I7" s="444" t="s">
        <v>319</v>
      </c>
      <c r="J7" s="445"/>
      <c r="K7" s="446"/>
      <c r="L7" s="448" t="s">
        <v>320</v>
      </c>
      <c r="M7" s="445" t="s">
        <v>321</v>
      </c>
      <c r="N7" s="445"/>
      <c r="O7" s="445"/>
      <c r="P7" s="445" t="s">
        <v>322</v>
      </c>
      <c r="Q7" s="445"/>
      <c r="R7" s="445"/>
      <c r="S7" s="444" t="s">
        <v>323</v>
      </c>
      <c r="T7" s="445"/>
      <c r="U7" s="446"/>
      <c r="V7" s="448" t="s">
        <v>320</v>
      </c>
      <c r="W7" s="445" t="s">
        <v>324</v>
      </c>
      <c r="X7" s="445"/>
      <c r="Y7" s="445"/>
      <c r="Z7" s="445" t="s">
        <v>325</v>
      </c>
      <c r="AA7" s="445"/>
      <c r="AB7" s="445"/>
      <c r="AC7" s="444" t="s">
        <v>326</v>
      </c>
      <c r="AD7" s="445"/>
      <c r="AE7" s="446"/>
      <c r="AF7" s="448" t="s">
        <v>320</v>
      </c>
      <c r="AG7" s="445" t="s">
        <v>327</v>
      </c>
      <c r="AH7" s="445"/>
      <c r="AI7" s="445"/>
      <c r="AJ7" s="445" t="s">
        <v>328</v>
      </c>
      <c r="AK7" s="445"/>
      <c r="AL7" s="445"/>
      <c r="AM7" s="444" t="s">
        <v>329</v>
      </c>
      <c r="AN7" s="445"/>
      <c r="AO7" s="446"/>
      <c r="AP7" s="448" t="s">
        <v>320</v>
      </c>
      <c r="AQ7" s="457"/>
      <c r="AR7" s="451"/>
      <c r="AS7" s="454"/>
    </row>
    <row r="8" spans="2:45" ht="37.5">
      <c r="B8" s="447"/>
      <c r="C8" s="4" t="s">
        <v>330</v>
      </c>
      <c r="D8" s="4" t="s">
        <v>331</v>
      </c>
      <c r="E8" s="2" t="s">
        <v>332</v>
      </c>
      <c r="F8" s="4" t="s">
        <v>330</v>
      </c>
      <c r="G8" s="4" t="s">
        <v>331</v>
      </c>
      <c r="H8" s="2" t="s">
        <v>332</v>
      </c>
      <c r="I8" s="4" t="s">
        <v>330</v>
      </c>
      <c r="J8" s="4" t="s">
        <v>331</v>
      </c>
      <c r="K8" s="5" t="s">
        <v>332</v>
      </c>
      <c r="L8" s="449"/>
      <c r="M8" s="4" t="s">
        <v>330</v>
      </c>
      <c r="N8" s="4" t="s">
        <v>331</v>
      </c>
      <c r="O8" s="2" t="s">
        <v>332</v>
      </c>
      <c r="P8" s="4" t="s">
        <v>330</v>
      </c>
      <c r="Q8" s="4" t="s">
        <v>331</v>
      </c>
      <c r="R8" s="2" t="s">
        <v>332</v>
      </c>
      <c r="S8" s="4" t="s">
        <v>330</v>
      </c>
      <c r="T8" s="4" t="s">
        <v>331</v>
      </c>
      <c r="U8" s="5" t="s">
        <v>332</v>
      </c>
      <c r="V8" s="449"/>
      <c r="W8" s="4" t="s">
        <v>330</v>
      </c>
      <c r="X8" s="4" t="s">
        <v>331</v>
      </c>
      <c r="Y8" s="2" t="s">
        <v>332</v>
      </c>
      <c r="Z8" s="4" t="s">
        <v>330</v>
      </c>
      <c r="AA8" s="4" t="s">
        <v>331</v>
      </c>
      <c r="AB8" s="2" t="s">
        <v>332</v>
      </c>
      <c r="AC8" s="4" t="s">
        <v>330</v>
      </c>
      <c r="AD8" s="4" t="s">
        <v>331</v>
      </c>
      <c r="AE8" s="5" t="s">
        <v>332</v>
      </c>
      <c r="AF8" s="449"/>
      <c r="AG8" s="4" t="s">
        <v>330</v>
      </c>
      <c r="AH8" s="4" t="s">
        <v>331</v>
      </c>
      <c r="AI8" s="2" t="s">
        <v>332</v>
      </c>
      <c r="AJ8" s="4" t="s">
        <v>330</v>
      </c>
      <c r="AK8" s="4" t="s">
        <v>331</v>
      </c>
      <c r="AL8" s="2" t="s">
        <v>332</v>
      </c>
      <c r="AM8" s="4" t="s">
        <v>330</v>
      </c>
      <c r="AN8" s="4" t="s">
        <v>331</v>
      </c>
      <c r="AO8" s="5" t="s">
        <v>332</v>
      </c>
      <c r="AP8" s="449"/>
      <c r="AQ8" s="458"/>
      <c r="AR8" s="452"/>
      <c r="AS8" s="455"/>
    </row>
    <row r="9" spans="2:45" ht="26.25">
      <c r="B9" s="118" t="s">
        <v>333</v>
      </c>
      <c r="C9" s="119"/>
      <c r="D9" s="120"/>
      <c r="E9" s="121">
        <v>1686</v>
      </c>
      <c r="F9" s="119"/>
      <c r="G9" s="120"/>
      <c r="H9" s="121">
        <v>2555</v>
      </c>
      <c r="I9" s="119"/>
      <c r="J9" s="120"/>
      <c r="K9" s="121">
        <v>7303</v>
      </c>
      <c r="L9" s="122">
        <f>K9</f>
        <v>7303</v>
      </c>
      <c r="M9" s="119"/>
      <c r="N9" s="120"/>
      <c r="O9" s="121">
        <v>21918</v>
      </c>
      <c r="P9" s="119"/>
      <c r="Q9" s="120"/>
      <c r="R9" s="121">
        <v>21299</v>
      </c>
      <c r="S9" s="119"/>
      <c r="T9" s="120"/>
      <c r="U9" s="121">
        <v>22430</v>
      </c>
      <c r="V9" s="122">
        <f>U9</f>
        <v>22430</v>
      </c>
      <c r="W9" s="119"/>
      <c r="X9" s="120"/>
      <c r="Y9" s="121">
        <v>19450</v>
      </c>
      <c r="Z9" s="119"/>
      <c r="AA9" s="120"/>
      <c r="AB9" s="121">
        <v>7004</v>
      </c>
      <c r="AC9" s="119"/>
      <c r="AD9" s="120"/>
      <c r="AE9" s="121">
        <v>18170</v>
      </c>
      <c r="AF9" s="122">
        <f>AE9</f>
        <v>18170</v>
      </c>
      <c r="AG9" s="119"/>
      <c r="AH9" s="120"/>
      <c r="AI9" s="121">
        <f>+AF80</f>
        <v>12755</v>
      </c>
      <c r="AJ9" s="119"/>
      <c r="AK9" s="120"/>
      <c r="AL9" s="121">
        <f>+AI80</f>
        <v>8981</v>
      </c>
      <c r="AM9" s="119"/>
      <c r="AN9" s="120"/>
      <c r="AO9" s="121">
        <f>+AL80</f>
        <v>7676</v>
      </c>
      <c r="AP9" s="122">
        <f>AO9</f>
        <v>7676</v>
      </c>
      <c r="AQ9" s="123"/>
      <c r="AR9" s="123"/>
      <c r="AS9" s="123"/>
    </row>
    <row r="10" spans="2:45" ht="54" customHeight="1">
      <c r="B10" s="124" t="s">
        <v>334</v>
      </c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</row>
    <row r="11" spans="2:45" ht="26.25">
      <c r="B11" s="127" t="s">
        <v>335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9"/>
    </row>
    <row r="12" spans="1:45" ht="25.5" customHeight="1">
      <c r="A12" s="11" t="s">
        <v>336</v>
      </c>
      <c r="B12" s="133" t="s">
        <v>337</v>
      </c>
      <c r="C12" s="134">
        <f>SUM(C13:C14)</f>
        <v>8821</v>
      </c>
      <c r="D12" s="187">
        <f>SUM(D13:D14)</f>
        <v>0</v>
      </c>
      <c r="E12" s="135">
        <f aca="true" t="shared" si="0" ref="E12:E17">SUM(C12:D12)</f>
        <v>8821</v>
      </c>
      <c r="F12" s="134">
        <f>SUM(F13:F14)</f>
        <v>8400</v>
      </c>
      <c r="G12" s="187">
        <f>SUM(G13:G14)</f>
        <v>0</v>
      </c>
      <c r="H12" s="135">
        <f aca="true" t="shared" si="1" ref="H12:H17">SUM(F12:G12)</f>
        <v>8400</v>
      </c>
      <c r="I12" s="134">
        <f>SUM(I13:I14)</f>
        <v>6000</v>
      </c>
      <c r="J12" s="187">
        <f>SUM(J13:J14)</f>
        <v>0</v>
      </c>
      <c r="K12" s="135">
        <f aca="true" t="shared" si="2" ref="K12:K17">SUM(I12:J12)</f>
        <v>6000</v>
      </c>
      <c r="L12" s="209">
        <f aca="true" t="shared" si="3" ref="L12:L17">SUM(E12,H12,K12)</f>
        <v>23221</v>
      </c>
      <c r="M12" s="134">
        <f>SUM(M13:M14)</f>
        <v>7000</v>
      </c>
      <c r="N12" s="187">
        <f>SUM(N13:N14)</f>
        <v>0</v>
      </c>
      <c r="O12" s="135">
        <f aca="true" t="shared" si="4" ref="O12:O17">SUM(M12:N12)</f>
        <v>7000</v>
      </c>
      <c r="P12" s="134">
        <f>SUM(P13:P14)</f>
        <v>7500</v>
      </c>
      <c r="Q12" s="187">
        <f>SUM(Q13:Q14)</f>
        <v>0</v>
      </c>
      <c r="R12" s="135">
        <f aca="true" t="shared" si="5" ref="R12:R17">SUM(P12:Q12)</f>
        <v>7500</v>
      </c>
      <c r="S12" s="134">
        <f>SUM(S13:S14)</f>
        <v>7500</v>
      </c>
      <c r="T12" s="187">
        <f>SUM(T13:T14)</f>
        <v>0</v>
      </c>
      <c r="U12" s="135">
        <f aca="true" t="shared" si="6" ref="U12:U17">SUM(S12:T12)</f>
        <v>7500</v>
      </c>
      <c r="V12" s="209">
        <f aca="true" t="shared" si="7" ref="V12:V17">SUM(O12,R12,U12)</f>
        <v>22000</v>
      </c>
      <c r="W12" s="134">
        <f>SUM(W13:W14)</f>
        <v>8000</v>
      </c>
      <c r="X12" s="187">
        <f>SUM(X13:X14)</f>
        <v>0</v>
      </c>
      <c r="Y12" s="135">
        <f aca="true" t="shared" si="8" ref="Y12:Y17">SUM(W12:X12)</f>
        <v>8000</v>
      </c>
      <c r="Z12" s="134">
        <f>SUM(Z13:Z14)</f>
        <v>7000</v>
      </c>
      <c r="AA12" s="187">
        <f>SUM(AA13:AA14)</f>
        <v>0</v>
      </c>
      <c r="AB12" s="135">
        <f aca="true" t="shared" si="9" ref="AB12:AB17">SUM(Z12:AA12)</f>
        <v>7000</v>
      </c>
      <c r="AC12" s="134">
        <f>SUM(AC13:AC14)</f>
        <v>5000</v>
      </c>
      <c r="AD12" s="187">
        <f>SUM(AD13:AD14)</f>
        <v>0</v>
      </c>
      <c r="AE12" s="135">
        <f aca="true" t="shared" si="10" ref="AE12:AE17">SUM(AC12:AD12)</f>
        <v>5000</v>
      </c>
      <c r="AF12" s="209">
        <f aca="true" t="shared" si="11" ref="AF12:AF17">SUM(Y12,AB12,AE12)</f>
        <v>20000</v>
      </c>
      <c r="AG12" s="134">
        <f>SUM(AG13:AG14)</f>
        <v>8300</v>
      </c>
      <c r="AH12" s="187">
        <f>SUM(AH13:AH14)</f>
        <v>0</v>
      </c>
      <c r="AI12" s="135">
        <f aca="true" t="shared" si="12" ref="AI12:AI17">SUM(AG12:AH12)</f>
        <v>8300</v>
      </c>
      <c r="AJ12" s="134">
        <f>SUM(AJ13:AJ14)</f>
        <v>8300</v>
      </c>
      <c r="AK12" s="187">
        <f>SUM(AK13:AK14)</f>
        <v>0</v>
      </c>
      <c r="AL12" s="135">
        <f aca="true" t="shared" si="13" ref="AL12:AL17">SUM(AJ12:AK12)</f>
        <v>8300</v>
      </c>
      <c r="AM12" s="134">
        <f>SUM(AM13:AM14)</f>
        <v>8688</v>
      </c>
      <c r="AN12" s="187">
        <f>SUM(AN13:AN14)</f>
        <v>0</v>
      </c>
      <c r="AO12" s="135">
        <f aca="true" t="shared" si="14" ref="AO12:AO17">SUM(AM12:AN12)</f>
        <v>8688</v>
      </c>
      <c r="AP12" s="209">
        <f aca="true" t="shared" si="15" ref="AP12:AP17">SUM(AI12,AL12,AO12)</f>
        <v>25288</v>
      </c>
      <c r="AQ12" s="136">
        <f>C12+F12+I12+M12+P12+S12+W12+Z12+AC12+AG12+AJ12+AM12</f>
        <v>90509</v>
      </c>
      <c r="AR12" s="136">
        <f>D12+G12+J12+N12+Q12+T12+X12+AA12+AD12+AH12+AK12+AN12</f>
        <v>0</v>
      </c>
      <c r="AS12" s="136">
        <f>SUM(AQ12:AR12)</f>
        <v>90509</v>
      </c>
    </row>
    <row r="13" spans="1:45" ht="25.5" customHeight="1">
      <c r="A13" s="11" t="s">
        <v>338</v>
      </c>
      <c r="B13" s="137" t="s">
        <v>339</v>
      </c>
      <c r="C13" s="188"/>
      <c r="D13" s="189"/>
      <c r="E13" s="190">
        <f t="shared" si="0"/>
        <v>0</v>
      </c>
      <c r="F13" s="188"/>
      <c r="G13" s="189"/>
      <c r="H13" s="190">
        <f t="shared" si="1"/>
        <v>0</v>
      </c>
      <c r="I13" s="188"/>
      <c r="J13" s="189"/>
      <c r="K13" s="190">
        <f t="shared" si="2"/>
        <v>0</v>
      </c>
      <c r="L13" s="210">
        <f t="shared" si="3"/>
        <v>0</v>
      </c>
      <c r="M13" s="188"/>
      <c r="N13" s="189"/>
      <c r="O13" s="190">
        <f t="shared" si="4"/>
        <v>0</v>
      </c>
      <c r="P13" s="188"/>
      <c r="Q13" s="189"/>
      <c r="R13" s="190">
        <f t="shared" si="5"/>
        <v>0</v>
      </c>
      <c r="S13" s="188"/>
      <c r="T13" s="189"/>
      <c r="U13" s="190">
        <f t="shared" si="6"/>
        <v>0</v>
      </c>
      <c r="V13" s="210">
        <f t="shared" si="7"/>
        <v>0</v>
      </c>
      <c r="W13" s="188"/>
      <c r="X13" s="189"/>
      <c r="Y13" s="190">
        <f t="shared" si="8"/>
        <v>0</v>
      </c>
      <c r="Z13" s="188"/>
      <c r="AA13" s="189"/>
      <c r="AB13" s="190">
        <f t="shared" si="9"/>
        <v>0</v>
      </c>
      <c r="AC13" s="188"/>
      <c r="AD13" s="189"/>
      <c r="AE13" s="190">
        <f t="shared" si="10"/>
        <v>0</v>
      </c>
      <c r="AF13" s="210">
        <f t="shared" si="11"/>
        <v>0</v>
      </c>
      <c r="AG13" s="188"/>
      <c r="AH13" s="189"/>
      <c r="AI13" s="190">
        <f t="shared" si="12"/>
        <v>0</v>
      </c>
      <c r="AJ13" s="188"/>
      <c r="AK13" s="189"/>
      <c r="AL13" s="190">
        <f t="shared" si="13"/>
        <v>0</v>
      </c>
      <c r="AM13" s="188"/>
      <c r="AN13" s="189"/>
      <c r="AO13" s="190">
        <f t="shared" si="14"/>
        <v>0</v>
      </c>
      <c r="AP13" s="210">
        <f t="shared" si="15"/>
        <v>0</v>
      </c>
      <c r="AQ13" s="15">
        <f aca="true" t="shared" si="16" ref="AQ13:AR17">C13+F13+I13+M13+P13+S13+W13+Z13+AC13+AG13+AJ13+AM13</f>
        <v>0</v>
      </c>
      <c r="AR13" s="15">
        <f t="shared" si="16"/>
        <v>0</v>
      </c>
      <c r="AS13" s="15">
        <f aca="true" t="shared" si="17" ref="AS13:AS83">SUM(AQ13:AR13)</f>
        <v>0</v>
      </c>
    </row>
    <row r="14" spans="1:45" ht="25.5" customHeight="1">
      <c r="A14" s="11" t="s">
        <v>340</v>
      </c>
      <c r="B14" s="137" t="s">
        <v>341</v>
      </c>
      <c r="C14" s="188">
        <v>8821</v>
      </c>
      <c r="D14" s="189"/>
      <c r="E14" s="190">
        <f t="shared" si="0"/>
        <v>8821</v>
      </c>
      <c r="F14" s="188">
        <v>8400</v>
      </c>
      <c r="G14" s="189"/>
      <c r="H14" s="190">
        <f t="shared" si="1"/>
        <v>8400</v>
      </c>
      <c r="I14" s="188">
        <v>6000</v>
      </c>
      <c r="J14" s="189"/>
      <c r="K14" s="190">
        <f t="shared" si="2"/>
        <v>6000</v>
      </c>
      <c r="L14" s="210">
        <f t="shared" si="3"/>
        <v>23221</v>
      </c>
      <c r="M14" s="188">
        <v>7000</v>
      </c>
      <c r="N14" s="189"/>
      <c r="O14" s="190">
        <f t="shared" si="4"/>
        <v>7000</v>
      </c>
      <c r="P14" s="188">
        <v>7500</v>
      </c>
      <c r="Q14" s="189"/>
      <c r="R14" s="190">
        <f t="shared" si="5"/>
        <v>7500</v>
      </c>
      <c r="S14" s="188">
        <v>7500</v>
      </c>
      <c r="T14" s="189"/>
      <c r="U14" s="190">
        <f t="shared" si="6"/>
        <v>7500</v>
      </c>
      <c r="V14" s="210">
        <f t="shared" si="7"/>
        <v>22000</v>
      </c>
      <c r="W14" s="188">
        <v>8000</v>
      </c>
      <c r="X14" s="189"/>
      <c r="Y14" s="190">
        <f t="shared" si="8"/>
        <v>8000</v>
      </c>
      <c r="Z14" s="188">
        <v>7000</v>
      </c>
      <c r="AA14" s="189"/>
      <c r="AB14" s="190">
        <f t="shared" si="9"/>
        <v>7000</v>
      </c>
      <c r="AC14" s="188">
        <v>5000</v>
      </c>
      <c r="AD14" s="189"/>
      <c r="AE14" s="190">
        <f t="shared" si="10"/>
        <v>5000</v>
      </c>
      <c r="AF14" s="210">
        <f t="shared" si="11"/>
        <v>20000</v>
      </c>
      <c r="AG14" s="188">
        <v>8300</v>
      </c>
      <c r="AH14" s="189"/>
      <c r="AI14" s="190">
        <f t="shared" si="12"/>
        <v>8300</v>
      </c>
      <c r="AJ14" s="188">
        <v>8300</v>
      </c>
      <c r="AK14" s="189"/>
      <c r="AL14" s="190">
        <f t="shared" si="13"/>
        <v>8300</v>
      </c>
      <c r="AM14" s="188">
        <f>900+7788</f>
        <v>8688</v>
      </c>
      <c r="AN14" s="189"/>
      <c r="AO14" s="190">
        <f t="shared" si="14"/>
        <v>8688</v>
      </c>
      <c r="AP14" s="210">
        <f t="shared" si="15"/>
        <v>25288</v>
      </c>
      <c r="AQ14" s="15">
        <f t="shared" si="16"/>
        <v>90509</v>
      </c>
      <c r="AR14" s="15">
        <f t="shared" si="16"/>
        <v>0</v>
      </c>
      <c r="AS14" s="15">
        <f t="shared" si="17"/>
        <v>90509</v>
      </c>
    </row>
    <row r="15" spans="1:45" ht="26.25">
      <c r="A15" s="11" t="s">
        <v>342</v>
      </c>
      <c r="B15" s="138" t="s">
        <v>343</v>
      </c>
      <c r="C15" s="191"/>
      <c r="D15" s="192"/>
      <c r="E15" s="193">
        <f t="shared" si="0"/>
        <v>0</v>
      </c>
      <c r="F15" s="191"/>
      <c r="G15" s="192"/>
      <c r="H15" s="193">
        <f t="shared" si="1"/>
        <v>0</v>
      </c>
      <c r="I15" s="191"/>
      <c r="J15" s="192"/>
      <c r="K15" s="193">
        <f t="shared" si="2"/>
        <v>0</v>
      </c>
      <c r="L15" s="211">
        <f t="shared" si="3"/>
        <v>0</v>
      </c>
      <c r="M15" s="191"/>
      <c r="N15" s="192"/>
      <c r="O15" s="193">
        <f t="shared" si="4"/>
        <v>0</v>
      </c>
      <c r="P15" s="191"/>
      <c r="Q15" s="192"/>
      <c r="R15" s="193">
        <f t="shared" si="5"/>
        <v>0</v>
      </c>
      <c r="S15" s="191"/>
      <c r="T15" s="192"/>
      <c r="U15" s="193">
        <f t="shared" si="6"/>
        <v>0</v>
      </c>
      <c r="V15" s="211">
        <f t="shared" si="7"/>
        <v>0</v>
      </c>
      <c r="W15" s="191"/>
      <c r="X15" s="192"/>
      <c r="Y15" s="193">
        <f t="shared" si="8"/>
        <v>0</v>
      </c>
      <c r="Z15" s="191"/>
      <c r="AA15" s="192"/>
      <c r="AB15" s="193">
        <f t="shared" si="9"/>
        <v>0</v>
      </c>
      <c r="AC15" s="191"/>
      <c r="AD15" s="192"/>
      <c r="AE15" s="193">
        <f t="shared" si="10"/>
        <v>0</v>
      </c>
      <c r="AF15" s="211">
        <f t="shared" si="11"/>
        <v>0</v>
      </c>
      <c r="AG15" s="191"/>
      <c r="AH15" s="192"/>
      <c r="AI15" s="193">
        <f t="shared" si="12"/>
        <v>0</v>
      </c>
      <c r="AJ15" s="191"/>
      <c r="AK15" s="192"/>
      <c r="AL15" s="193">
        <f t="shared" si="13"/>
        <v>0</v>
      </c>
      <c r="AM15" s="191"/>
      <c r="AN15" s="192"/>
      <c r="AO15" s="193">
        <f t="shared" si="14"/>
        <v>0</v>
      </c>
      <c r="AP15" s="211">
        <f t="shared" si="15"/>
        <v>0</v>
      </c>
      <c r="AQ15" s="144">
        <f t="shared" si="16"/>
        <v>0</v>
      </c>
      <c r="AR15" s="144">
        <f t="shared" si="16"/>
        <v>0</v>
      </c>
      <c r="AS15" s="144">
        <f t="shared" si="17"/>
        <v>0</v>
      </c>
    </row>
    <row r="16" spans="1:45" ht="26.25">
      <c r="A16" s="11" t="s">
        <v>344</v>
      </c>
      <c r="B16" s="139" t="s">
        <v>345</v>
      </c>
      <c r="C16" s="194"/>
      <c r="D16" s="195"/>
      <c r="E16" s="196">
        <f t="shared" si="0"/>
        <v>0</v>
      </c>
      <c r="F16" s="194"/>
      <c r="G16" s="195"/>
      <c r="H16" s="196">
        <f t="shared" si="1"/>
        <v>0</v>
      </c>
      <c r="I16" s="194"/>
      <c r="J16" s="195"/>
      <c r="K16" s="196">
        <f t="shared" si="2"/>
        <v>0</v>
      </c>
      <c r="L16" s="212">
        <f t="shared" si="3"/>
        <v>0</v>
      </c>
      <c r="M16" s="194"/>
      <c r="N16" s="195"/>
      <c r="O16" s="196">
        <f t="shared" si="4"/>
        <v>0</v>
      </c>
      <c r="P16" s="194"/>
      <c r="Q16" s="195">
        <v>40</v>
      </c>
      <c r="R16" s="196">
        <f t="shared" si="5"/>
        <v>40</v>
      </c>
      <c r="S16" s="194"/>
      <c r="T16" s="195"/>
      <c r="U16" s="196">
        <f t="shared" si="6"/>
        <v>0</v>
      </c>
      <c r="V16" s="212">
        <f t="shared" si="7"/>
        <v>40</v>
      </c>
      <c r="W16" s="194"/>
      <c r="X16" s="195"/>
      <c r="Y16" s="196">
        <f t="shared" si="8"/>
        <v>0</v>
      </c>
      <c r="Z16" s="194"/>
      <c r="AA16" s="195"/>
      <c r="AB16" s="196">
        <f t="shared" si="9"/>
        <v>0</v>
      </c>
      <c r="AC16" s="194"/>
      <c r="AD16" s="195"/>
      <c r="AE16" s="196">
        <f t="shared" si="10"/>
        <v>0</v>
      </c>
      <c r="AF16" s="212">
        <f t="shared" si="11"/>
        <v>0</v>
      </c>
      <c r="AG16" s="194"/>
      <c r="AH16" s="195"/>
      <c r="AI16" s="196">
        <f t="shared" si="12"/>
        <v>0</v>
      </c>
      <c r="AJ16" s="194"/>
      <c r="AK16" s="195"/>
      <c r="AL16" s="196">
        <f t="shared" si="13"/>
        <v>0</v>
      </c>
      <c r="AM16" s="194"/>
      <c r="AN16" s="195"/>
      <c r="AO16" s="196">
        <f t="shared" si="14"/>
        <v>0</v>
      </c>
      <c r="AP16" s="212">
        <f t="shared" si="15"/>
        <v>0</v>
      </c>
      <c r="AQ16" s="142">
        <f t="shared" si="16"/>
        <v>0</v>
      </c>
      <c r="AR16" s="142">
        <f t="shared" si="16"/>
        <v>40</v>
      </c>
      <c r="AS16" s="142">
        <f t="shared" si="17"/>
        <v>40</v>
      </c>
    </row>
    <row r="17" spans="1:45" ht="26.25">
      <c r="A17" s="11" t="s">
        <v>346</v>
      </c>
      <c r="B17" s="44" t="s">
        <v>347</v>
      </c>
      <c r="C17" s="197"/>
      <c r="D17" s="198"/>
      <c r="E17" s="199">
        <f t="shared" si="0"/>
        <v>0</v>
      </c>
      <c r="F17" s="197"/>
      <c r="G17" s="198"/>
      <c r="H17" s="199">
        <f t="shared" si="1"/>
        <v>0</v>
      </c>
      <c r="I17" s="197"/>
      <c r="J17" s="198"/>
      <c r="K17" s="199">
        <f t="shared" si="2"/>
        <v>0</v>
      </c>
      <c r="L17" s="210">
        <f t="shared" si="3"/>
        <v>0</v>
      </c>
      <c r="M17" s="197"/>
      <c r="N17" s="198"/>
      <c r="O17" s="199">
        <f t="shared" si="4"/>
        <v>0</v>
      </c>
      <c r="P17" s="197"/>
      <c r="Q17" s="198"/>
      <c r="R17" s="199">
        <f t="shared" si="5"/>
        <v>0</v>
      </c>
      <c r="S17" s="197"/>
      <c r="T17" s="198"/>
      <c r="U17" s="199">
        <f t="shared" si="6"/>
        <v>0</v>
      </c>
      <c r="V17" s="210">
        <f t="shared" si="7"/>
        <v>0</v>
      </c>
      <c r="W17" s="197"/>
      <c r="X17" s="198"/>
      <c r="Y17" s="199">
        <f t="shared" si="8"/>
        <v>0</v>
      </c>
      <c r="Z17" s="197"/>
      <c r="AA17" s="198"/>
      <c r="AB17" s="199">
        <f t="shared" si="9"/>
        <v>0</v>
      </c>
      <c r="AC17" s="197"/>
      <c r="AD17" s="198"/>
      <c r="AE17" s="199">
        <f t="shared" si="10"/>
        <v>0</v>
      </c>
      <c r="AF17" s="210">
        <f t="shared" si="11"/>
        <v>0</v>
      </c>
      <c r="AG17" s="197"/>
      <c r="AH17" s="198"/>
      <c r="AI17" s="199">
        <f t="shared" si="12"/>
        <v>0</v>
      </c>
      <c r="AJ17" s="197"/>
      <c r="AK17" s="198"/>
      <c r="AL17" s="199">
        <f t="shared" si="13"/>
        <v>0</v>
      </c>
      <c r="AM17" s="197"/>
      <c r="AN17" s="198"/>
      <c r="AO17" s="199">
        <f t="shared" si="14"/>
        <v>0</v>
      </c>
      <c r="AP17" s="210">
        <f t="shared" si="15"/>
        <v>0</v>
      </c>
      <c r="AQ17" s="15">
        <f t="shared" si="16"/>
        <v>0</v>
      </c>
      <c r="AR17" s="15">
        <f t="shared" si="16"/>
        <v>0</v>
      </c>
      <c r="AS17" s="15">
        <f t="shared" si="17"/>
        <v>0</v>
      </c>
    </row>
    <row r="18" spans="2:45" ht="26.25">
      <c r="B18" s="145" t="s">
        <v>348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7"/>
    </row>
    <row r="19" spans="1:45" ht="26.25">
      <c r="A19" s="11" t="s">
        <v>349</v>
      </c>
      <c r="B19" s="151" t="s">
        <v>350</v>
      </c>
      <c r="C19" s="191"/>
      <c r="D19" s="192"/>
      <c r="E19" s="193">
        <f>SUM(C19:D19)</f>
        <v>0</v>
      </c>
      <c r="F19" s="191">
        <v>14493</v>
      </c>
      <c r="G19" s="192"/>
      <c r="H19" s="193">
        <f>SUM(F19:G19)</f>
        <v>14493</v>
      </c>
      <c r="I19" s="191">
        <v>27493</v>
      </c>
      <c r="J19" s="192"/>
      <c r="K19" s="193">
        <f>SUM(I19:J19)</f>
        <v>27493</v>
      </c>
      <c r="L19" s="211">
        <f>SUM(E19,H19,K19)</f>
        <v>41986</v>
      </c>
      <c r="M19" s="191">
        <v>12000</v>
      </c>
      <c r="N19" s="192">
        <v>144</v>
      </c>
      <c r="O19" s="193">
        <f>SUM(M19:N19)</f>
        <v>12144</v>
      </c>
      <c r="P19" s="191">
        <v>13000</v>
      </c>
      <c r="Q19" s="192"/>
      <c r="R19" s="193">
        <f>SUM(P19:Q19)</f>
        <v>13000</v>
      </c>
      <c r="S19" s="191">
        <v>10000</v>
      </c>
      <c r="T19" s="192"/>
      <c r="U19" s="193">
        <f>SUM(S19:T19)</f>
        <v>10000</v>
      </c>
      <c r="V19" s="211">
        <f>SUM(O19,R19,U19)</f>
        <v>35144</v>
      </c>
      <c r="W19" s="191"/>
      <c r="X19" s="192"/>
      <c r="Y19" s="193">
        <f>SUM(W19:X19)</f>
        <v>0</v>
      </c>
      <c r="Z19" s="191">
        <v>20000</v>
      </c>
      <c r="AA19" s="192"/>
      <c r="AB19" s="193">
        <f>SUM(Z19:AA19)</f>
        <v>20000</v>
      </c>
      <c r="AC19" s="191">
        <v>13000</v>
      </c>
      <c r="AD19" s="192"/>
      <c r="AE19" s="193">
        <f>SUM(AC19:AD19)</f>
        <v>13000</v>
      </c>
      <c r="AF19" s="211">
        <f>SUM(Y19,AB19,AE19)</f>
        <v>33000</v>
      </c>
      <c r="AG19" s="191">
        <v>12000</v>
      </c>
      <c r="AH19" s="192"/>
      <c r="AI19" s="193">
        <f>SUM(AG19:AH19)</f>
        <v>12000</v>
      </c>
      <c r="AJ19" s="191">
        <v>12000</v>
      </c>
      <c r="AK19" s="192"/>
      <c r="AL19" s="193">
        <f>SUM(AJ19:AK19)</f>
        <v>12000</v>
      </c>
      <c r="AM19" s="191">
        <v>11800</v>
      </c>
      <c r="AN19" s="192">
        <v>7000</v>
      </c>
      <c r="AO19" s="193">
        <f>SUM(AM19:AN19)</f>
        <v>18800</v>
      </c>
      <c r="AP19" s="211">
        <f>SUM(AI19,AL19,AO19)</f>
        <v>42800</v>
      </c>
      <c r="AQ19" s="144">
        <f aca="true" t="shared" si="18" ref="AQ19:AR24">C19+F19+I19+M19+P19+S19+W19+Z19+AC19+AG19+AJ19+AM19</f>
        <v>145786</v>
      </c>
      <c r="AR19" s="144">
        <f t="shared" si="18"/>
        <v>7144</v>
      </c>
      <c r="AS19" s="144">
        <f t="shared" si="17"/>
        <v>152930</v>
      </c>
    </row>
    <row r="20" spans="1:45" ht="26.25">
      <c r="A20" s="11" t="s">
        <v>351</v>
      </c>
      <c r="B20" s="152" t="s">
        <v>352</v>
      </c>
      <c r="C20" s="194"/>
      <c r="D20" s="195">
        <v>4259</v>
      </c>
      <c r="E20" s="196">
        <f>SUM(C20:D20)</f>
        <v>4259</v>
      </c>
      <c r="F20" s="194">
        <v>3</v>
      </c>
      <c r="G20" s="195">
        <v>13628</v>
      </c>
      <c r="H20" s="196">
        <f>SUM(F20:G20)</f>
        <v>13631</v>
      </c>
      <c r="I20" s="194">
        <v>5178</v>
      </c>
      <c r="J20" s="195">
        <v>5866</v>
      </c>
      <c r="K20" s="196">
        <f>SUM(I20:J20)</f>
        <v>11044</v>
      </c>
      <c r="L20" s="212">
        <f aca="true" t="shared" si="19" ref="L20:L29">SUM(E20,H20,K20)</f>
        <v>28934</v>
      </c>
      <c r="M20" s="194">
        <v>7234</v>
      </c>
      <c r="N20" s="195">
        <v>1916</v>
      </c>
      <c r="O20" s="196">
        <f>SUM(M20:N20)</f>
        <v>9150</v>
      </c>
      <c r="P20" s="194">
        <v>13904</v>
      </c>
      <c r="Q20" s="195">
        <v>3327</v>
      </c>
      <c r="R20" s="196">
        <f>SUM(P20:Q20)</f>
        <v>17231</v>
      </c>
      <c r="S20" s="194">
        <v>9845</v>
      </c>
      <c r="T20" s="195">
        <v>467</v>
      </c>
      <c r="U20" s="196">
        <f>SUM(S20:T20)</f>
        <v>10312</v>
      </c>
      <c r="V20" s="212">
        <f aca="true" t="shared" si="20" ref="V20:V29">SUM(O20,R20,U20)</f>
        <v>36693</v>
      </c>
      <c r="W20" s="194">
        <v>10663</v>
      </c>
      <c r="X20" s="195">
        <v>276</v>
      </c>
      <c r="Y20" s="196">
        <f>SUM(W20:X20)</f>
        <v>10939</v>
      </c>
      <c r="Z20" s="194">
        <v>9036</v>
      </c>
      <c r="AA20" s="195">
        <v>155</v>
      </c>
      <c r="AB20" s="196">
        <f>SUM(Z20:AA20)</f>
        <v>9191</v>
      </c>
      <c r="AC20" s="206">
        <v>10100</v>
      </c>
      <c r="AD20" s="207">
        <v>1300</v>
      </c>
      <c r="AE20" s="196">
        <f>SUM(AC20:AD20)</f>
        <v>11400</v>
      </c>
      <c r="AF20" s="212">
        <f aca="true" t="shared" si="21" ref="AF20:AF29">SUM(Y20,AB20,AE20)</f>
        <v>31530</v>
      </c>
      <c r="AG20" s="206">
        <v>10000</v>
      </c>
      <c r="AH20" s="207">
        <v>1300</v>
      </c>
      <c r="AI20" s="196">
        <f>SUM(AG20:AH20)</f>
        <v>11300</v>
      </c>
      <c r="AJ20" s="206">
        <v>9000</v>
      </c>
      <c r="AK20" s="207">
        <v>1300</v>
      </c>
      <c r="AL20" s="196">
        <f>SUM(AJ20:AK20)</f>
        <v>10300</v>
      </c>
      <c r="AM20" s="206">
        <v>9000</v>
      </c>
      <c r="AN20" s="207">
        <v>1300</v>
      </c>
      <c r="AO20" s="196">
        <f>SUM(AM20:AN20)</f>
        <v>10300</v>
      </c>
      <c r="AP20" s="212">
        <f aca="true" t="shared" si="22" ref="AP20:AP29">SUM(AI20,AL20,AO20)</f>
        <v>31900</v>
      </c>
      <c r="AQ20" s="142">
        <f t="shared" si="18"/>
        <v>93963</v>
      </c>
      <c r="AR20" s="142">
        <f t="shared" si="18"/>
        <v>35094</v>
      </c>
      <c r="AS20" s="142">
        <f t="shared" si="17"/>
        <v>129057</v>
      </c>
    </row>
    <row r="21" spans="2:45" ht="26.25">
      <c r="B21" s="145" t="s">
        <v>353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7"/>
    </row>
    <row r="22" spans="1:45" ht="26.25">
      <c r="A22" s="11" t="s">
        <v>354</v>
      </c>
      <c r="B22" s="151" t="s">
        <v>355</v>
      </c>
      <c r="C22" s="191"/>
      <c r="D22" s="192"/>
      <c r="E22" s="193">
        <f>SUM(C22:D22)</f>
        <v>0</v>
      </c>
      <c r="F22" s="191"/>
      <c r="G22" s="192"/>
      <c r="H22" s="193">
        <f>SUM(F22:G22)</f>
        <v>0</v>
      </c>
      <c r="I22" s="191"/>
      <c r="J22" s="192"/>
      <c r="K22" s="193">
        <f>SUM(I22:J22)</f>
        <v>0</v>
      </c>
      <c r="L22" s="211">
        <f t="shared" si="19"/>
        <v>0</v>
      </c>
      <c r="M22" s="191"/>
      <c r="N22" s="192"/>
      <c r="O22" s="193">
        <f>SUM(M22:N22)</f>
        <v>0</v>
      </c>
      <c r="P22" s="191"/>
      <c r="Q22" s="192"/>
      <c r="R22" s="193">
        <f>SUM(P22:Q22)</f>
        <v>0</v>
      </c>
      <c r="S22" s="191"/>
      <c r="T22" s="192"/>
      <c r="U22" s="193">
        <f>SUM(S22:T22)</f>
        <v>0</v>
      </c>
      <c r="V22" s="211">
        <f t="shared" si="20"/>
        <v>0</v>
      </c>
      <c r="W22" s="191"/>
      <c r="X22" s="192"/>
      <c r="Y22" s="193">
        <f>SUM(W22:X22)</f>
        <v>0</v>
      </c>
      <c r="Z22" s="191"/>
      <c r="AA22" s="192"/>
      <c r="AB22" s="193">
        <f>SUM(Z22:AA22)</f>
        <v>0</v>
      </c>
      <c r="AC22" s="191"/>
      <c r="AD22" s="192"/>
      <c r="AE22" s="193">
        <f>SUM(AC22:AD22)</f>
        <v>0</v>
      </c>
      <c r="AF22" s="211">
        <f t="shared" si="21"/>
        <v>0</v>
      </c>
      <c r="AG22" s="191"/>
      <c r="AH22" s="192"/>
      <c r="AI22" s="193">
        <f>SUM(AG22:AH22)</f>
        <v>0</v>
      </c>
      <c r="AJ22" s="191"/>
      <c r="AK22" s="192"/>
      <c r="AL22" s="193">
        <f>SUM(AJ22:AK22)</f>
        <v>0</v>
      </c>
      <c r="AM22" s="191"/>
      <c r="AN22" s="192"/>
      <c r="AO22" s="193">
        <f>SUM(AM22:AN22)</f>
        <v>0</v>
      </c>
      <c r="AP22" s="211">
        <f t="shared" si="22"/>
        <v>0</v>
      </c>
      <c r="AQ22" s="144">
        <f t="shared" si="18"/>
        <v>0</v>
      </c>
      <c r="AR22" s="144">
        <f t="shared" si="18"/>
        <v>0</v>
      </c>
      <c r="AS22" s="144">
        <f t="shared" si="17"/>
        <v>0</v>
      </c>
    </row>
    <row r="23" spans="1:45" ht="26.25">
      <c r="A23" s="11" t="s">
        <v>356</v>
      </c>
      <c r="B23" s="151" t="s">
        <v>357</v>
      </c>
      <c r="C23" s="191"/>
      <c r="D23" s="192"/>
      <c r="E23" s="193">
        <f>SUM(C23:D23)</f>
        <v>0</v>
      </c>
      <c r="F23" s="191"/>
      <c r="G23" s="192"/>
      <c r="H23" s="193">
        <f>SUM(F23:G23)</f>
        <v>0</v>
      </c>
      <c r="I23" s="191"/>
      <c r="J23" s="192"/>
      <c r="K23" s="193">
        <f>SUM(I23:J23)</f>
        <v>0</v>
      </c>
      <c r="L23" s="211">
        <f>SUM(E23,H23,K23)</f>
        <v>0</v>
      </c>
      <c r="M23" s="191"/>
      <c r="N23" s="192"/>
      <c r="O23" s="193">
        <f>SUM(M23:N23)</f>
        <v>0</v>
      </c>
      <c r="P23" s="191"/>
      <c r="Q23" s="192"/>
      <c r="R23" s="193">
        <f>SUM(P23:Q23)</f>
        <v>0</v>
      </c>
      <c r="S23" s="191"/>
      <c r="T23" s="192"/>
      <c r="U23" s="193">
        <f>SUM(S23:T23)</f>
        <v>0</v>
      </c>
      <c r="V23" s="211">
        <f>SUM(O23,R23,U23)</f>
        <v>0</v>
      </c>
      <c r="W23" s="191"/>
      <c r="X23" s="192"/>
      <c r="Y23" s="193">
        <f>SUM(W23:X23)</f>
        <v>0</v>
      </c>
      <c r="Z23" s="191"/>
      <c r="AA23" s="192"/>
      <c r="AB23" s="193">
        <f>SUM(Z23:AA23)</f>
        <v>0</v>
      </c>
      <c r="AC23" s="191"/>
      <c r="AD23" s="192"/>
      <c r="AE23" s="193">
        <f>SUM(AC23:AD23)</f>
        <v>0</v>
      </c>
      <c r="AF23" s="211">
        <f>SUM(Y23,AB23,AE23)</f>
        <v>0</v>
      </c>
      <c r="AG23" s="191"/>
      <c r="AH23" s="192"/>
      <c r="AI23" s="193">
        <f>SUM(AG23:AH23)</f>
        <v>0</v>
      </c>
      <c r="AJ23" s="191"/>
      <c r="AK23" s="192"/>
      <c r="AL23" s="193">
        <f>SUM(AJ23:AK23)</f>
        <v>0</v>
      </c>
      <c r="AM23" s="191"/>
      <c r="AN23" s="192"/>
      <c r="AO23" s="193">
        <f>SUM(AM23:AN23)</f>
        <v>0</v>
      </c>
      <c r="AP23" s="211">
        <f>SUM(AI23,AL23,AO23)</f>
        <v>0</v>
      </c>
      <c r="AQ23" s="144">
        <f>C23+F23+I23+M23+P23+S23+W23+Z23+AC23+AG23+AJ23+AM23</f>
        <v>0</v>
      </c>
      <c r="AR23" s="144">
        <f>D23+G23+J23+N23+Q23+T23+X23+AA23+AD23+AH23+AK23+AN23</f>
        <v>0</v>
      </c>
      <c r="AS23" s="144">
        <f>SUM(AQ23:AR23)</f>
        <v>0</v>
      </c>
    </row>
    <row r="24" spans="1:45" ht="26.25">
      <c r="A24" s="11" t="s">
        <v>358</v>
      </c>
      <c r="B24" s="152" t="s">
        <v>359</v>
      </c>
      <c r="C24" s="194"/>
      <c r="D24" s="195"/>
      <c r="E24" s="196">
        <f>SUM(C24:D24)</f>
        <v>0</v>
      </c>
      <c r="F24" s="194"/>
      <c r="G24" s="195"/>
      <c r="H24" s="196">
        <f>SUM(F24:G24)</f>
        <v>0</v>
      </c>
      <c r="I24" s="194"/>
      <c r="J24" s="195"/>
      <c r="K24" s="196">
        <f>SUM(I24:J24)</f>
        <v>0</v>
      </c>
      <c r="L24" s="212">
        <f t="shared" si="19"/>
        <v>0</v>
      </c>
      <c r="M24" s="194"/>
      <c r="N24" s="195"/>
      <c r="O24" s="196">
        <f>SUM(M24:N24)</f>
        <v>0</v>
      </c>
      <c r="P24" s="194"/>
      <c r="Q24" s="195"/>
      <c r="R24" s="196">
        <f>SUM(P24:Q24)</f>
        <v>0</v>
      </c>
      <c r="S24" s="194"/>
      <c r="T24" s="195"/>
      <c r="U24" s="196">
        <f>SUM(S24:T24)</f>
        <v>0</v>
      </c>
      <c r="V24" s="212">
        <f t="shared" si="20"/>
        <v>0</v>
      </c>
      <c r="W24" s="194"/>
      <c r="X24" s="195"/>
      <c r="Y24" s="196">
        <f>SUM(W24:X24)</f>
        <v>0</v>
      </c>
      <c r="Z24" s="194"/>
      <c r="AA24" s="195"/>
      <c r="AB24" s="196">
        <f>SUM(Z24:AA24)</f>
        <v>0</v>
      </c>
      <c r="AC24" s="194"/>
      <c r="AD24" s="195"/>
      <c r="AE24" s="196">
        <f>SUM(AC24:AD24)</f>
        <v>0</v>
      </c>
      <c r="AF24" s="212">
        <f t="shared" si="21"/>
        <v>0</v>
      </c>
      <c r="AG24" s="194"/>
      <c r="AH24" s="195"/>
      <c r="AI24" s="196">
        <f>SUM(AG24:AH24)</f>
        <v>0</v>
      </c>
      <c r="AJ24" s="194"/>
      <c r="AK24" s="195"/>
      <c r="AL24" s="196">
        <f>SUM(AJ24:AK24)</f>
        <v>0</v>
      </c>
      <c r="AM24" s="194"/>
      <c r="AN24" s="195"/>
      <c r="AO24" s="196">
        <f>SUM(AM24:AN24)</f>
        <v>0</v>
      </c>
      <c r="AP24" s="212">
        <f t="shared" si="22"/>
        <v>0</v>
      </c>
      <c r="AQ24" s="142">
        <f t="shared" si="18"/>
        <v>0</v>
      </c>
      <c r="AR24" s="142">
        <f t="shared" si="18"/>
        <v>0</v>
      </c>
      <c r="AS24" s="142">
        <f t="shared" si="17"/>
        <v>0</v>
      </c>
    </row>
    <row r="25" spans="2:45" ht="26.25">
      <c r="B25" s="145" t="s">
        <v>360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</row>
    <row r="26" spans="1:45" ht="26.25">
      <c r="A26" s="11" t="s">
        <v>361</v>
      </c>
      <c r="B26" s="153" t="s">
        <v>362</v>
      </c>
      <c r="C26" s="191"/>
      <c r="D26" s="192"/>
      <c r="E26" s="193">
        <f>SUM(C26:D26)</f>
        <v>0</v>
      </c>
      <c r="F26" s="191"/>
      <c r="G26" s="192"/>
      <c r="H26" s="193">
        <f>SUM(F26:G26)</f>
        <v>0</v>
      </c>
      <c r="I26" s="191">
        <v>624</v>
      </c>
      <c r="J26" s="192"/>
      <c r="K26" s="193">
        <f>SUM(I26:J26)</f>
        <v>624</v>
      </c>
      <c r="L26" s="211">
        <f t="shared" si="19"/>
        <v>624</v>
      </c>
      <c r="M26" s="191"/>
      <c r="N26" s="192"/>
      <c r="O26" s="193">
        <f>SUM(M26:N26)</f>
        <v>0</v>
      </c>
      <c r="P26" s="191"/>
      <c r="Q26" s="192"/>
      <c r="R26" s="193">
        <f>SUM(P26:Q26)</f>
        <v>0</v>
      </c>
      <c r="S26" s="191"/>
      <c r="T26" s="192"/>
      <c r="U26" s="193">
        <f>SUM(S26:T26)</f>
        <v>0</v>
      </c>
      <c r="V26" s="211">
        <f t="shared" si="20"/>
        <v>0</v>
      </c>
      <c r="W26" s="191"/>
      <c r="X26" s="192">
        <v>10</v>
      </c>
      <c r="Y26" s="193">
        <f>SUM(W26:X26)</f>
        <v>10</v>
      </c>
      <c r="Z26" s="191"/>
      <c r="AA26" s="192"/>
      <c r="AB26" s="193">
        <f>SUM(Z26:AA26)</f>
        <v>0</v>
      </c>
      <c r="AC26" s="191">
        <v>624</v>
      </c>
      <c r="AD26" s="192"/>
      <c r="AE26" s="193">
        <f>SUM(AC26:AD26)</f>
        <v>624</v>
      </c>
      <c r="AF26" s="211">
        <f t="shared" si="21"/>
        <v>634</v>
      </c>
      <c r="AG26" s="191"/>
      <c r="AH26" s="192"/>
      <c r="AI26" s="193">
        <f>SUM(AG26:AH26)</f>
        <v>0</v>
      </c>
      <c r="AJ26" s="191"/>
      <c r="AK26" s="192"/>
      <c r="AL26" s="193">
        <f>SUM(AJ26:AK26)</f>
        <v>0</v>
      </c>
      <c r="AM26" s="191"/>
      <c r="AN26" s="192"/>
      <c r="AO26" s="193">
        <f>SUM(AM26:AN26)</f>
        <v>0</v>
      </c>
      <c r="AP26" s="211">
        <f t="shared" si="22"/>
        <v>0</v>
      </c>
      <c r="AQ26" s="144">
        <f aca="true" t="shared" si="23" ref="AQ26:AR36">C26+F26+I26+M26+P26+S26+W26+Z26+AC26+AG26+AJ26+AM26</f>
        <v>1248</v>
      </c>
      <c r="AR26" s="144">
        <f t="shared" si="23"/>
        <v>10</v>
      </c>
      <c r="AS26" s="144">
        <f t="shared" si="17"/>
        <v>1258</v>
      </c>
    </row>
    <row r="27" spans="1:45" ht="26.25">
      <c r="A27" s="11" t="s">
        <v>363</v>
      </c>
      <c r="B27" s="153" t="s">
        <v>364</v>
      </c>
      <c r="C27" s="191"/>
      <c r="D27" s="192"/>
      <c r="E27" s="193">
        <f>SUM(C27:D27)</f>
        <v>0</v>
      </c>
      <c r="F27" s="191"/>
      <c r="G27" s="192"/>
      <c r="H27" s="193">
        <f>SUM(F27:G27)</f>
        <v>0</v>
      </c>
      <c r="I27" s="191"/>
      <c r="J27" s="192"/>
      <c r="K27" s="193">
        <f>SUM(I27:J27)</f>
        <v>0</v>
      </c>
      <c r="L27" s="211">
        <f t="shared" si="19"/>
        <v>0</v>
      </c>
      <c r="M27" s="191"/>
      <c r="N27" s="192"/>
      <c r="O27" s="193">
        <f>SUM(M27:N27)</f>
        <v>0</v>
      </c>
      <c r="P27" s="191"/>
      <c r="Q27" s="192"/>
      <c r="R27" s="193">
        <f>SUM(P27:Q27)</f>
        <v>0</v>
      </c>
      <c r="S27" s="191"/>
      <c r="T27" s="192"/>
      <c r="U27" s="193">
        <f>SUM(S27:T27)</f>
        <v>0</v>
      </c>
      <c r="V27" s="211">
        <f t="shared" si="20"/>
        <v>0</v>
      </c>
      <c r="W27" s="191"/>
      <c r="X27" s="192"/>
      <c r="Y27" s="193">
        <f>SUM(W27:X27)</f>
        <v>0</v>
      </c>
      <c r="Z27" s="191"/>
      <c r="AA27" s="192"/>
      <c r="AB27" s="193">
        <f>SUM(Z27:AA27)</f>
        <v>0</v>
      </c>
      <c r="AC27" s="191"/>
      <c r="AD27" s="192"/>
      <c r="AE27" s="193">
        <f>SUM(AC27:AD27)</f>
        <v>0</v>
      </c>
      <c r="AF27" s="211">
        <f t="shared" si="21"/>
        <v>0</v>
      </c>
      <c r="AG27" s="191"/>
      <c r="AH27" s="192"/>
      <c r="AI27" s="193">
        <f>SUM(AG27:AH27)</f>
        <v>0</v>
      </c>
      <c r="AJ27" s="191"/>
      <c r="AK27" s="192"/>
      <c r="AL27" s="193">
        <f>SUM(AJ27:AK27)</f>
        <v>0</v>
      </c>
      <c r="AM27" s="191"/>
      <c r="AN27" s="192"/>
      <c r="AO27" s="193">
        <f>SUM(AM27:AN27)</f>
        <v>0</v>
      </c>
      <c r="AP27" s="211">
        <f t="shared" si="22"/>
        <v>0</v>
      </c>
      <c r="AQ27" s="144">
        <f t="shared" si="23"/>
        <v>0</v>
      </c>
      <c r="AR27" s="144">
        <f t="shared" si="23"/>
        <v>0</v>
      </c>
      <c r="AS27" s="144">
        <f t="shared" si="17"/>
        <v>0</v>
      </c>
    </row>
    <row r="28" spans="1:45" ht="26.25">
      <c r="A28" s="11" t="s">
        <v>365</v>
      </c>
      <c r="B28" s="153" t="s">
        <v>366</v>
      </c>
      <c r="C28" s="191"/>
      <c r="D28" s="192"/>
      <c r="E28" s="193">
        <f>SUM(C28:D28)</f>
        <v>0</v>
      </c>
      <c r="F28" s="191"/>
      <c r="G28" s="192">
        <v>30</v>
      </c>
      <c r="H28" s="193">
        <f>SUM(F28:G28)</f>
        <v>30</v>
      </c>
      <c r="I28" s="191">
        <v>14</v>
      </c>
      <c r="J28" s="192">
        <v>65</v>
      </c>
      <c r="K28" s="193">
        <f>SUM(I28:J28)</f>
        <v>79</v>
      </c>
      <c r="L28" s="211">
        <f t="shared" si="19"/>
        <v>109</v>
      </c>
      <c r="M28" s="191">
        <v>7</v>
      </c>
      <c r="N28" s="192">
        <v>164</v>
      </c>
      <c r="O28" s="193">
        <f>SUM(M28:N28)</f>
        <v>171</v>
      </c>
      <c r="P28" s="191">
        <v>34</v>
      </c>
      <c r="Q28" s="192">
        <v>147</v>
      </c>
      <c r="R28" s="193">
        <f>SUM(P28:Q28)</f>
        <v>181</v>
      </c>
      <c r="S28" s="191">
        <v>75</v>
      </c>
      <c r="T28" s="192">
        <v>477</v>
      </c>
      <c r="U28" s="193">
        <f>SUM(S28:T28)</f>
        <v>552</v>
      </c>
      <c r="V28" s="211">
        <f t="shared" si="20"/>
        <v>904</v>
      </c>
      <c r="W28" s="191">
        <v>51</v>
      </c>
      <c r="X28" s="192">
        <v>5</v>
      </c>
      <c r="Y28" s="193">
        <f>SUM(W28:X28)</f>
        <v>56</v>
      </c>
      <c r="Z28" s="191">
        <v>121</v>
      </c>
      <c r="AA28" s="192">
        <v>24</v>
      </c>
      <c r="AB28" s="193">
        <f>SUM(Z28:AA28)</f>
        <v>145</v>
      </c>
      <c r="AC28" s="191">
        <v>250</v>
      </c>
      <c r="AD28" s="192"/>
      <c r="AE28" s="193">
        <f>SUM(AC28:AD28)</f>
        <v>250</v>
      </c>
      <c r="AF28" s="211">
        <f t="shared" si="21"/>
        <v>451</v>
      </c>
      <c r="AG28" s="191">
        <v>250</v>
      </c>
      <c r="AH28" s="192"/>
      <c r="AI28" s="193">
        <f>SUM(AG28:AH28)</f>
        <v>250</v>
      </c>
      <c r="AJ28" s="191">
        <v>250</v>
      </c>
      <c r="AK28" s="192"/>
      <c r="AL28" s="193">
        <f>SUM(AJ28:AK28)</f>
        <v>250</v>
      </c>
      <c r="AM28" s="191">
        <v>250</v>
      </c>
      <c r="AN28" s="192"/>
      <c r="AO28" s="193">
        <f>SUM(AM28:AN28)</f>
        <v>250</v>
      </c>
      <c r="AP28" s="211">
        <f t="shared" si="22"/>
        <v>750</v>
      </c>
      <c r="AQ28" s="144">
        <f t="shared" si="23"/>
        <v>1302</v>
      </c>
      <c r="AR28" s="144">
        <f t="shared" si="23"/>
        <v>912</v>
      </c>
      <c r="AS28" s="144">
        <f t="shared" si="17"/>
        <v>2214</v>
      </c>
    </row>
    <row r="29" spans="1:45" ht="26.25">
      <c r="A29" s="11" t="s">
        <v>367</v>
      </c>
      <c r="B29" s="154" t="s">
        <v>368</v>
      </c>
      <c r="C29" s="194"/>
      <c r="D29" s="195"/>
      <c r="E29" s="196">
        <f>SUM(C29:D29)</f>
        <v>0</v>
      </c>
      <c r="F29" s="194"/>
      <c r="G29" s="195"/>
      <c r="H29" s="196">
        <f>SUM(F29:G29)</f>
        <v>0</v>
      </c>
      <c r="I29" s="194"/>
      <c r="J29" s="195"/>
      <c r="K29" s="196">
        <f>SUM(I29:J29)</f>
        <v>0</v>
      </c>
      <c r="L29" s="212">
        <f t="shared" si="19"/>
        <v>0</v>
      </c>
      <c r="M29" s="194"/>
      <c r="N29" s="195"/>
      <c r="O29" s="196">
        <f>SUM(M29:N29)</f>
        <v>0</v>
      </c>
      <c r="P29" s="194"/>
      <c r="Q29" s="195"/>
      <c r="R29" s="196">
        <f>SUM(P29:Q29)</f>
        <v>0</v>
      </c>
      <c r="S29" s="194"/>
      <c r="T29" s="195"/>
      <c r="U29" s="196">
        <f>SUM(S29:T29)</f>
        <v>0</v>
      </c>
      <c r="V29" s="212">
        <f t="shared" si="20"/>
        <v>0</v>
      </c>
      <c r="W29" s="194"/>
      <c r="X29" s="195"/>
      <c r="Y29" s="196">
        <f>SUM(W29:X29)</f>
        <v>0</v>
      </c>
      <c r="Z29" s="194"/>
      <c r="AA29" s="195"/>
      <c r="AB29" s="196">
        <f>SUM(Z29:AA29)</f>
        <v>0</v>
      </c>
      <c r="AC29" s="194"/>
      <c r="AD29" s="195"/>
      <c r="AE29" s="196">
        <f>SUM(AC29:AD29)</f>
        <v>0</v>
      </c>
      <c r="AF29" s="212">
        <f t="shared" si="21"/>
        <v>0</v>
      </c>
      <c r="AG29" s="194"/>
      <c r="AH29" s="195"/>
      <c r="AI29" s="196">
        <f>SUM(AG29:AH29)</f>
        <v>0</v>
      </c>
      <c r="AJ29" s="194"/>
      <c r="AK29" s="195"/>
      <c r="AL29" s="196">
        <f>SUM(AJ29:AK29)</f>
        <v>0</v>
      </c>
      <c r="AM29" s="194"/>
      <c r="AN29" s="195"/>
      <c r="AO29" s="196">
        <f>SUM(AM29:AN29)</f>
        <v>0</v>
      </c>
      <c r="AP29" s="212">
        <f t="shared" si="22"/>
        <v>0</v>
      </c>
      <c r="AQ29" s="142">
        <f t="shared" si="23"/>
        <v>0</v>
      </c>
      <c r="AR29" s="142">
        <f t="shared" si="23"/>
        <v>0</v>
      </c>
      <c r="AS29" s="142">
        <f t="shared" si="17"/>
        <v>0</v>
      </c>
    </row>
    <row r="30" spans="2:45" ht="26.25">
      <c r="B30" s="145" t="s">
        <v>369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7"/>
    </row>
    <row r="31" spans="1:45" ht="26.25">
      <c r="A31" s="11" t="s">
        <v>370</v>
      </c>
      <c r="B31" s="151" t="s">
        <v>371</v>
      </c>
      <c r="C31" s="191"/>
      <c r="D31" s="192"/>
      <c r="E31" s="193">
        <f aca="true" t="shared" si="24" ref="E31:E36">SUM(C31:D31)</f>
        <v>0</v>
      </c>
      <c r="F31" s="191"/>
      <c r="G31" s="192"/>
      <c r="H31" s="193">
        <f aca="true" t="shared" si="25" ref="H31:H36">SUM(F31:G31)</f>
        <v>0</v>
      </c>
      <c r="I31" s="191"/>
      <c r="J31" s="192"/>
      <c r="K31" s="193">
        <f aca="true" t="shared" si="26" ref="K31:K36">SUM(I31:J31)</f>
        <v>0</v>
      </c>
      <c r="L31" s="211">
        <f aca="true" t="shared" si="27" ref="L31:L36">SUM(E31,H31,K31)</f>
        <v>0</v>
      </c>
      <c r="M31" s="191"/>
      <c r="N31" s="192"/>
      <c r="O31" s="193">
        <f aca="true" t="shared" si="28" ref="O31:O36">SUM(M31:N31)</f>
        <v>0</v>
      </c>
      <c r="P31" s="191"/>
      <c r="Q31" s="192"/>
      <c r="R31" s="193">
        <f aca="true" t="shared" si="29" ref="R31:R36">SUM(P31:Q31)</f>
        <v>0</v>
      </c>
      <c r="S31" s="191"/>
      <c r="T31" s="192"/>
      <c r="U31" s="193">
        <f aca="true" t="shared" si="30" ref="U31:U36">SUM(S31:T31)</f>
        <v>0</v>
      </c>
      <c r="V31" s="211">
        <f aca="true" t="shared" si="31" ref="V31:V36">SUM(O31,R31,U31)</f>
        <v>0</v>
      </c>
      <c r="W31" s="191"/>
      <c r="X31" s="192"/>
      <c r="Y31" s="193">
        <f aca="true" t="shared" si="32" ref="Y31:Y36">SUM(W31:X31)</f>
        <v>0</v>
      </c>
      <c r="Z31" s="191"/>
      <c r="AA31" s="192"/>
      <c r="AB31" s="193">
        <f aca="true" t="shared" si="33" ref="AB31:AB36">SUM(Z31:AA31)</f>
        <v>0</v>
      </c>
      <c r="AC31" s="191"/>
      <c r="AD31" s="192"/>
      <c r="AE31" s="193">
        <f aca="true" t="shared" si="34" ref="AE31:AE36">SUM(AC31:AD31)</f>
        <v>0</v>
      </c>
      <c r="AF31" s="211">
        <f aca="true" t="shared" si="35" ref="AF31:AF36">SUM(Y31,AB31,AE31)</f>
        <v>0</v>
      </c>
      <c r="AG31" s="191"/>
      <c r="AH31" s="192"/>
      <c r="AI31" s="193">
        <f aca="true" t="shared" si="36" ref="AI31:AI36">SUM(AG31:AH31)</f>
        <v>0</v>
      </c>
      <c r="AJ31" s="191"/>
      <c r="AK31" s="192"/>
      <c r="AL31" s="193">
        <f aca="true" t="shared" si="37" ref="AL31:AL36">SUM(AJ31:AK31)</f>
        <v>0</v>
      </c>
      <c r="AM31" s="191"/>
      <c r="AN31" s="192"/>
      <c r="AO31" s="193">
        <f aca="true" t="shared" si="38" ref="AO31:AO36">SUM(AM31:AN31)</f>
        <v>0</v>
      </c>
      <c r="AP31" s="211">
        <f aca="true" t="shared" si="39" ref="AP31:AP36">SUM(AI31,AL31,AO31)</f>
        <v>0</v>
      </c>
      <c r="AQ31" s="144">
        <f t="shared" si="23"/>
        <v>0</v>
      </c>
      <c r="AR31" s="144">
        <f t="shared" si="23"/>
        <v>0</v>
      </c>
      <c r="AS31" s="144">
        <f t="shared" si="17"/>
        <v>0</v>
      </c>
    </row>
    <row r="32" spans="1:45" ht="26.25">
      <c r="A32" s="11" t="s">
        <v>372</v>
      </c>
      <c r="B32" s="153" t="s">
        <v>373</v>
      </c>
      <c r="C32" s="191"/>
      <c r="D32" s="192">
        <v>4</v>
      </c>
      <c r="E32" s="193">
        <f t="shared" si="24"/>
        <v>4</v>
      </c>
      <c r="F32" s="191"/>
      <c r="G32" s="192">
        <v>167</v>
      </c>
      <c r="H32" s="193">
        <f t="shared" si="25"/>
        <v>167</v>
      </c>
      <c r="I32" s="191">
        <v>26</v>
      </c>
      <c r="J32" s="192">
        <v>205</v>
      </c>
      <c r="K32" s="193">
        <f t="shared" si="26"/>
        <v>231</v>
      </c>
      <c r="L32" s="211">
        <f t="shared" si="27"/>
        <v>402</v>
      </c>
      <c r="M32" s="191">
        <v>16</v>
      </c>
      <c r="N32" s="192">
        <v>213</v>
      </c>
      <c r="O32" s="193">
        <f t="shared" si="28"/>
        <v>229</v>
      </c>
      <c r="P32" s="191">
        <v>1</v>
      </c>
      <c r="Q32" s="192"/>
      <c r="R32" s="193">
        <f t="shared" si="29"/>
        <v>1</v>
      </c>
      <c r="S32" s="191"/>
      <c r="T32" s="192"/>
      <c r="U32" s="193">
        <f t="shared" si="30"/>
        <v>0</v>
      </c>
      <c r="V32" s="211">
        <f t="shared" si="31"/>
        <v>230</v>
      </c>
      <c r="W32" s="191">
        <v>318</v>
      </c>
      <c r="X32" s="192">
        <v>115</v>
      </c>
      <c r="Y32" s="193">
        <f t="shared" si="32"/>
        <v>433</v>
      </c>
      <c r="Z32" s="191">
        <v>159</v>
      </c>
      <c r="AA32" s="192">
        <v>213</v>
      </c>
      <c r="AB32" s="193">
        <f t="shared" si="33"/>
        <v>372</v>
      </c>
      <c r="AC32" s="191">
        <v>150</v>
      </c>
      <c r="AD32" s="192"/>
      <c r="AE32" s="193">
        <f t="shared" si="34"/>
        <v>150</v>
      </c>
      <c r="AF32" s="211">
        <f t="shared" si="35"/>
        <v>955</v>
      </c>
      <c r="AG32" s="191">
        <v>150</v>
      </c>
      <c r="AH32" s="192"/>
      <c r="AI32" s="193">
        <f t="shared" si="36"/>
        <v>150</v>
      </c>
      <c r="AJ32" s="191">
        <v>150</v>
      </c>
      <c r="AK32" s="192"/>
      <c r="AL32" s="193">
        <f t="shared" si="37"/>
        <v>150</v>
      </c>
      <c r="AM32" s="191">
        <v>150</v>
      </c>
      <c r="AN32" s="192"/>
      <c r="AO32" s="193">
        <f t="shared" si="38"/>
        <v>150</v>
      </c>
      <c r="AP32" s="211">
        <f t="shared" si="39"/>
        <v>450</v>
      </c>
      <c r="AQ32" s="144">
        <f t="shared" si="23"/>
        <v>1120</v>
      </c>
      <c r="AR32" s="144">
        <f t="shared" si="23"/>
        <v>917</v>
      </c>
      <c r="AS32" s="144">
        <f t="shared" si="17"/>
        <v>2037</v>
      </c>
    </row>
    <row r="33" spans="1:45" ht="26.25">
      <c r="A33" s="11" t="s">
        <v>374</v>
      </c>
      <c r="B33" s="153" t="s">
        <v>375</v>
      </c>
      <c r="C33" s="191"/>
      <c r="D33" s="192"/>
      <c r="E33" s="193">
        <f>SUM(C33:D33)</f>
        <v>0</v>
      </c>
      <c r="F33" s="191"/>
      <c r="G33" s="192">
        <v>1</v>
      </c>
      <c r="H33" s="193">
        <f t="shared" si="25"/>
        <v>1</v>
      </c>
      <c r="I33" s="191"/>
      <c r="J33" s="192"/>
      <c r="K33" s="193">
        <f t="shared" si="26"/>
        <v>0</v>
      </c>
      <c r="L33" s="211">
        <f>SUM(E33,H33,K33)</f>
        <v>1</v>
      </c>
      <c r="M33" s="191"/>
      <c r="N33" s="192">
        <v>5</v>
      </c>
      <c r="O33" s="193">
        <f t="shared" si="28"/>
        <v>5</v>
      </c>
      <c r="P33" s="191"/>
      <c r="Q33" s="192">
        <v>1</v>
      </c>
      <c r="R33" s="193">
        <f t="shared" si="29"/>
        <v>1</v>
      </c>
      <c r="S33" s="191"/>
      <c r="T33" s="192"/>
      <c r="U33" s="193">
        <f t="shared" si="30"/>
        <v>0</v>
      </c>
      <c r="V33" s="211">
        <f>SUM(O33,R33,U33)</f>
        <v>6</v>
      </c>
      <c r="W33" s="191"/>
      <c r="X33" s="192"/>
      <c r="Y33" s="193">
        <f t="shared" si="32"/>
        <v>0</v>
      </c>
      <c r="Z33" s="191"/>
      <c r="AA33" s="192"/>
      <c r="AB33" s="193">
        <f t="shared" si="33"/>
        <v>0</v>
      </c>
      <c r="AC33" s="191"/>
      <c r="AD33" s="192"/>
      <c r="AE33" s="193">
        <f t="shared" si="34"/>
        <v>0</v>
      </c>
      <c r="AF33" s="211">
        <f>SUM(Y33,AB33,AE33)</f>
        <v>0</v>
      </c>
      <c r="AG33" s="191"/>
      <c r="AH33" s="192"/>
      <c r="AI33" s="193">
        <f t="shared" si="36"/>
        <v>0</v>
      </c>
      <c r="AJ33" s="191"/>
      <c r="AK33" s="192"/>
      <c r="AL33" s="193">
        <f t="shared" si="37"/>
        <v>0</v>
      </c>
      <c r="AM33" s="191"/>
      <c r="AN33" s="192"/>
      <c r="AO33" s="193">
        <f t="shared" si="38"/>
        <v>0</v>
      </c>
      <c r="AP33" s="211">
        <f>SUM(AI33,AL33,AO33)</f>
        <v>0</v>
      </c>
      <c r="AQ33" s="144">
        <f>C33+F33+I33+M33+P33+S33+W33+Z33+AC33+AG33+AJ33+AM33</f>
        <v>0</v>
      </c>
      <c r="AR33" s="144">
        <f>D33+G33+J33+N33+Q33+T33+X33+AA33+AD33+AH33+AK33+AN33</f>
        <v>7</v>
      </c>
      <c r="AS33" s="144">
        <f>SUM(AQ33:AR33)</f>
        <v>7</v>
      </c>
    </row>
    <row r="34" spans="1:45" ht="26.25">
      <c r="A34" s="11" t="s">
        <v>376</v>
      </c>
      <c r="B34" s="153" t="s">
        <v>377</v>
      </c>
      <c r="C34" s="191"/>
      <c r="D34" s="192"/>
      <c r="E34" s="193">
        <f>SUM(C34:D34)</f>
        <v>0</v>
      </c>
      <c r="F34" s="191"/>
      <c r="G34" s="192"/>
      <c r="H34" s="193">
        <f t="shared" si="25"/>
        <v>0</v>
      </c>
      <c r="I34" s="191"/>
      <c r="J34" s="192"/>
      <c r="K34" s="193">
        <f t="shared" si="26"/>
        <v>0</v>
      </c>
      <c r="L34" s="211">
        <f>SUM(E34,H34,K34)</f>
        <v>0</v>
      </c>
      <c r="M34" s="191"/>
      <c r="N34" s="192"/>
      <c r="O34" s="193">
        <f t="shared" si="28"/>
        <v>0</v>
      </c>
      <c r="P34" s="191">
        <v>1</v>
      </c>
      <c r="Q34" s="192"/>
      <c r="R34" s="193">
        <f t="shared" si="29"/>
        <v>1</v>
      </c>
      <c r="S34" s="191">
        <v>13</v>
      </c>
      <c r="T34" s="192">
        <v>75</v>
      </c>
      <c r="U34" s="193">
        <f t="shared" si="30"/>
        <v>88</v>
      </c>
      <c r="V34" s="211">
        <f>SUM(O34,R34,U34)</f>
        <v>89</v>
      </c>
      <c r="W34" s="191"/>
      <c r="X34" s="192"/>
      <c r="Y34" s="193">
        <f t="shared" si="32"/>
        <v>0</v>
      </c>
      <c r="Z34" s="191"/>
      <c r="AA34" s="192"/>
      <c r="AB34" s="193">
        <f t="shared" si="33"/>
        <v>0</v>
      </c>
      <c r="AC34" s="191"/>
      <c r="AD34" s="192"/>
      <c r="AE34" s="193">
        <f t="shared" si="34"/>
        <v>0</v>
      </c>
      <c r="AF34" s="211">
        <f>SUM(Y34,AB34,AE34)</f>
        <v>0</v>
      </c>
      <c r="AG34" s="191"/>
      <c r="AH34" s="192"/>
      <c r="AI34" s="193">
        <f t="shared" si="36"/>
        <v>0</v>
      </c>
      <c r="AJ34" s="191"/>
      <c r="AK34" s="192"/>
      <c r="AL34" s="193">
        <f t="shared" si="37"/>
        <v>0</v>
      </c>
      <c r="AM34" s="191"/>
      <c r="AN34" s="192"/>
      <c r="AO34" s="193">
        <f t="shared" si="38"/>
        <v>0</v>
      </c>
      <c r="AP34" s="211">
        <f>SUM(AI34,AL34,AO34)</f>
        <v>0</v>
      </c>
      <c r="AQ34" s="144">
        <f>C34+F34+I34+M34+P34+S34+W34+Z34+AC34+AG34+AJ34+AM34</f>
        <v>14</v>
      </c>
      <c r="AR34" s="144">
        <f>D34+G34+J34+N34+Q34+T34+X34+AA34+AD34+AH34+AK34+AN34</f>
        <v>75</v>
      </c>
      <c r="AS34" s="144">
        <f>SUM(AQ34:AR34)</f>
        <v>89</v>
      </c>
    </row>
    <row r="35" spans="1:45" ht="26.25">
      <c r="A35" s="11" t="s">
        <v>378</v>
      </c>
      <c r="B35" s="153" t="s">
        <v>379</v>
      </c>
      <c r="C35" s="191"/>
      <c r="D35" s="192"/>
      <c r="E35" s="193">
        <f t="shared" si="24"/>
        <v>0</v>
      </c>
      <c r="F35" s="191"/>
      <c r="G35" s="192"/>
      <c r="H35" s="193">
        <f t="shared" si="25"/>
        <v>0</v>
      </c>
      <c r="I35" s="191"/>
      <c r="J35" s="192"/>
      <c r="K35" s="193">
        <f t="shared" si="26"/>
        <v>0</v>
      </c>
      <c r="L35" s="211">
        <f t="shared" si="27"/>
        <v>0</v>
      </c>
      <c r="M35" s="191"/>
      <c r="N35" s="192"/>
      <c r="O35" s="193">
        <f t="shared" si="28"/>
        <v>0</v>
      </c>
      <c r="P35" s="191"/>
      <c r="Q35" s="192"/>
      <c r="R35" s="193">
        <f t="shared" si="29"/>
        <v>0</v>
      </c>
      <c r="S35" s="191"/>
      <c r="T35" s="192"/>
      <c r="U35" s="193">
        <f t="shared" si="30"/>
        <v>0</v>
      </c>
      <c r="V35" s="211">
        <f t="shared" si="31"/>
        <v>0</v>
      </c>
      <c r="W35" s="191"/>
      <c r="X35" s="192"/>
      <c r="Y35" s="193">
        <f t="shared" si="32"/>
        <v>0</v>
      </c>
      <c r="Z35" s="191"/>
      <c r="AA35" s="192"/>
      <c r="AB35" s="193">
        <f t="shared" si="33"/>
        <v>0</v>
      </c>
      <c r="AC35" s="191"/>
      <c r="AD35" s="192"/>
      <c r="AE35" s="193">
        <f t="shared" si="34"/>
        <v>0</v>
      </c>
      <c r="AF35" s="211">
        <f t="shared" si="35"/>
        <v>0</v>
      </c>
      <c r="AG35" s="191"/>
      <c r="AH35" s="192"/>
      <c r="AI35" s="193">
        <f t="shared" si="36"/>
        <v>0</v>
      </c>
      <c r="AJ35" s="191"/>
      <c r="AK35" s="192"/>
      <c r="AL35" s="193">
        <f t="shared" si="37"/>
        <v>0</v>
      </c>
      <c r="AM35" s="191"/>
      <c r="AN35" s="192"/>
      <c r="AO35" s="193">
        <f t="shared" si="38"/>
        <v>0</v>
      </c>
      <c r="AP35" s="211">
        <f t="shared" si="39"/>
        <v>0</v>
      </c>
      <c r="AQ35" s="144">
        <f t="shared" si="23"/>
        <v>0</v>
      </c>
      <c r="AR35" s="144">
        <f t="shared" si="23"/>
        <v>0</v>
      </c>
      <c r="AS35" s="144">
        <f t="shared" si="17"/>
        <v>0</v>
      </c>
    </row>
    <row r="36" spans="1:45" ht="26.25">
      <c r="A36" s="11" t="s">
        <v>380</v>
      </c>
      <c r="B36" s="155" t="s">
        <v>381</v>
      </c>
      <c r="C36" s="194"/>
      <c r="D36" s="195"/>
      <c r="E36" s="196">
        <f t="shared" si="24"/>
        <v>0</v>
      </c>
      <c r="F36" s="194"/>
      <c r="G36" s="195"/>
      <c r="H36" s="196">
        <f t="shared" si="25"/>
        <v>0</v>
      </c>
      <c r="I36" s="194"/>
      <c r="J36" s="195"/>
      <c r="K36" s="196">
        <f t="shared" si="26"/>
        <v>0</v>
      </c>
      <c r="L36" s="212">
        <f t="shared" si="27"/>
        <v>0</v>
      </c>
      <c r="M36" s="194"/>
      <c r="N36" s="195"/>
      <c r="O36" s="196">
        <f t="shared" si="28"/>
        <v>0</v>
      </c>
      <c r="P36" s="194"/>
      <c r="Q36" s="195"/>
      <c r="R36" s="196">
        <f t="shared" si="29"/>
        <v>0</v>
      </c>
      <c r="S36" s="194"/>
      <c r="T36" s="195"/>
      <c r="U36" s="196">
        <f t="shared" si="30"/>
        <v>0</v>
      </c>
      <c r="V36" s="212">
        <f t="shared" si="31"/>
        <v>0</v>
      </c>
      <c r="W36" s="194"/>
      <c r="X36" s="195"/>
      <c r="Y36" s="196">
        <f t="shared" si="32"/>
        <v>0</v>
      </c>
      <c r="Z36" s="194"/>
      <c r="AA36" s="195"/>
      <c r="AB36" s="196">
        <f t="shared" si="33"/>
        <v>0</v>
      </c>
      <c r="AC36" s="194"/>
      <c r="AD36" s="195"/>
      <c r="AE36" s="196">
        <f t="shared" si="34"/>
        <v>0</v>
      </c>
      <c r="AF36" s="212">
        <f t="shared" si="35"/>
        <v>0</v>
      </c>
      <c r="AG36" s="194"/>
      <c r="AH36" s="195"/>
      <c r="AI36" s="196">
        <f t="shared" si="36"/>
        <v>0</v>
      </c>
      <c r="AJ36" s="194"/>
      <c r="AK36" s="195"/>
      <c r="AL36" s="196">
        <f t="shared" si="37"/>
        <v>0</v>
      </c>
      <c r="AM36" s="194"/>
      <c r="AN36" s="195"/>
      <c r="AO36" s="196">
        <f t="shared" si="38"/>
        <v>0</v>
      </c>
      <c r="AP36" s="212">
        <f t="shared" si="39"/>
        <v>0</v>
      </c>
      <c r="AQ36" s="142">
        <f t="shared" si="23"/>
        <v>0</v>
      </c>
      <c r="AR36" s="142">
        <f t="shared" si="23"/>
        <v>0</v>
      </c>
      <c r="AS36" s="142">
        <f t="shared" si="17"/>
        <v>0</v>
      </c>
    </row>
    <row r="37" spans="2:45" ht="26.25">
      <c r="B37" s="145" t="s">
        <v>382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7"/>
    </row>
    <row r="38" spans="1:45" ht="26.25">
      <c r="A38" s="11" t="s">
        <v>383</v>
      </c>
      <c r="B38" s="153" t="s">
        <v>384</v>
      </c>
      <c r="C38" s="191">
        <v>1160</v>
      </c>
      <c r="D38" s="192">
        <v>615</v>
      </c>
      <c r="E38" s="193">
        <f>SUM(C38:D38)</f>
        <v>1775</v>
      </c>
      <c r="F38" s="191">
        <v>1509</v>
      </c>
      <c r="G38" s="192">
        <v>588</v>
      </c>
      <c r="H38" s="193">
        <f>SUM(F38:G38)</f>
        <v>2097</v>
      </c>
      <c r="I38" s="191">
        <v>1669</v>
      </c>
      <c r="J38" s="192">
        <v>561</v>
      </c>
      <c r="K38" s="193">
        <f>SUM(I38:J38)</f>
        <v>2230</v>
      </c>
      <c r="L38" s="211">
        <f>SUM(E38,H38,K38)</f>
        <v>6102</v>
      </c>
      <c r="M38" s="191">
        <v>1615</v>
      </c>
      <c r="N38" s="192">
        <v>287</v>
      </c>
      <c r="O38" s="193">
        <f>SUM(M38:N38)</f>
        <v>1902</v>
      </c>
      <c r="P38" s="191">
        <v>1866</v>
      </c>
      <c r="Q38" s="192">
        <v>1324</v>
      </c>
      <c r="R38" s="193">
        <f>SUM(P38:Q38)</f>
        <v>3190</v>
      </c>
      <c r="S38" s="191">
        <v>2287</v>
      </c>
      <c r="T38" s="192">
        <v>136</v>
      </c>
      <c r="U38" s="193">
        <f>SUM(S38:T38)</f>
        <v>2423</v>
      </c>
      <c r="V38" s="211">
        <f>SUM(O38,R38,U38)</f>
        <v>7515</v>
      </c>
      <c r="W38" s="191">
        <f>4845+499-401</f>
        <v>4943</v>
      </c>
      <c r="X38" s="192">
        <v>180</v>
      </c>
      <c r="Y38" s="193">
        <f>SUM(W38:X38)</f>
        <v>5123</v>
      </c>
      <c r="Z38" s="191">
        <f>2266+388</f>
        <v>2654</v>
      </c>
      <c r="AA38" s="192">
        <v>480</v>
      </c>
      <c r="AB38" s="193">
        <f>SUM(Z38:AA38)</f>
        <v>3134</v>
      </c>
      <c r="AC38" s="191">
        <v>2200</v>
      </c>
      <c r="AD38" s="192"/>
      <c r="AE38" s="193">
        <f>SUM(AC38:AD38)</f>
        <v>2200</v>
      </c>
      <c r="AF38" s="211">
        <f>SUM(Y38,AB38,AE38)</f>
        <v>10457</v>
      </c>
      <c r="AG38" s="191">
        <v>2200</v>
      </c>
      <c r="AH38" s="192"/>
      <c r="AI38" s="193">
        <f>SUM(AG38:AH38)</f>
        <v>2200</v>
      </c>
      <c r="AJ38" s="191">
        <v>2200</v>
      </c>
      <c r="AK38" s="192"/>
      <c r="AL38" s="193">
        <f>SUM(AJ38:AK38)</f>
        <v>2200</v>
      </c>
      <c r="AM38" s="191">
        <v>2200</v>
      </c>
      <c r="AN38" s="192"/>
      <c r="AO38" s="193">
        <f>SUM(AM38:AN38)</f>
        <v>2200</v>
      </c>
      <c r="AP38" s="211">
        <f>SUM(AI38,AL38,AO38)</f>
        <v>6600</v>
      </c>
      <c r="AQ38" s="144">
        <f>C38+F38+I38+M38+P38+S38+W38+Z38+AC38+AG38+AJ38+AM38</f>
        <v>26503</v>
      </c>
      <c r="AR38" s="144">
        <f>D38+G38+J38+N38+Q38+T38+X38+AA38+AD38+AH38+AK38+AN38</f>
        <v>4171</v>
      </c>
      <c r="AS38" s="144">
        <f t="shared" si="17"/>
        <v>30674</v>
      </c>
    </row>
    <row r="39" spans="1:45" ht="26.25">
      <c r="A39" s="11" t="s">
        <v>385</v>
      </c>
      <c r="B39" s="156" t="s">
        <v>386</v>
      </c>
      <c r="C39" s="194"/>
      <c r="D39" s="195"/>
      <c r="E39" s="196">
        <f>SUM(C39:D39)</f>
        <v>0</v>
      </c>
      <c r="F39" s="194"/>
      <c r="G39" s="195"/>
      <c r="H39" s="196">
        <f>SUM(F39:G39)</f>
        <v>0</v>
      </c>
      <c r="I39" s="194"/>
      <c r="J39" s="195"/>
      <c r="K39" s="196">
        <f>SUM(I39:J39)</f>
        <v>0</v>
      </c>
      <c r="L39" s="213">
        <f>SUM(E39,H39,K39)</f>
        <v>0</v>
      </c>
      <c r="M39" s="194"/>
      <c r="N39" s="195"/>
      <c r="O39" s="196">
        <f>SUM(M39:N39)</f>
        <v>0</v>
      </c>
      <c r="P39" s="194"/>
      <c r="Q39" s="195"/>
      <c r="R39" s="196">
        <f>SUM(P39:Q39)</f>
        <v>0</v>
      </c>
      <c r="S39" s="194"/>
      <c r="T39" s="195"/>
      <c r="U39" s="196">
        <f>SUM(S39:T39)</f>
        <v>0</v>
      </c>
      <c r="V39" s="213">
        <f>SUM(O39,R39,U39)</f>
        <v>0</v>
      </c>
      <c r="W39" s="194"/>
      <c r="X39" s="195"/>
      <c r="Y39" s="196">
        <f>SUM(W39:X39)</f>
        <v>0</v>
      </c>
      <c r="Z39" s="194"/>
      <c r="AA39" s="195"/>
      <c r="AB39" s="196">
        <f>SUM(Z39:AA39)</f>
        <v>0</v>
      </c>
      <c r="AC39" s="194"/>
      <c r="AD39" s="195"/>
      <c r="AE39" s="196">
        <f>SUM(AC39:AD39)</f>
        <v>0</v>
      </c>
      <c r="AF39" s="213">
        <f>SUM(Y39,AB39,AE39)</f>
        <v>0</v>
      </c>
      <c r="AG39" s="194"/>
      <c r="AH39" s="195"/>
      <c r="AI39" s="196">
        <f>SUM(AG39:AH39)</f>
        <v>0</v>
      </c>
      <c r="AJ39" s="194"/>
      <c r="AK39" s="195"/>
      <c r="AL39" s="196">
        <f>SUM(AJ39:AK39)</f>
        <v>0</v>
      </c>
      <c r="AM39" s="194"/>
      <c r="AN39" s="195"/>
      <c r="AO39" s="196">
        <f>SUM(AM39:AN39)</f>
        <v>0</v>
      </c>
      <c r="AP39" s="213">
        <f>SUM(AI39,AL39,AO39)</f>
        <v>0</v>
      </c>
      <c r="AQ39" s="157">
        <f>C39+F39+I39+M39+P39+S39+W39+Z39+AC39+AG39+AJ39+AM39</f>
        <v>0</v>
      </c>
      <c r="AR39" s="157">
        <f>D39+G39+J39+N39+Q39+T39+X39+AA39+AD39+AH39+AK39+AN39</f>
        <v>0</v>
      </c>
      <c r="AS39" s="157">
        <f t="shared" si="17"/>
        <v>0</v>
      </c>
    </row>
    <row r="40" spans="2:45" ht="51" customHeight="1">
      <c r="B40" s="169" t="s">
        <v>387</v>
      </c>
      <c r="C40" s="169"/>
      <c r="D40" s="170"/>
      <c r="E40" s="170"/>
      <c r="F40" s="169"/>
      <c r="G40" s="170"/>
      <c r="H40" s="170"/>
      <c r="I40" s="169"/>
      <c r="J40" s="170"/>
      <c r="K40" s="170"/>
      <c r="L40" s="170"/>
      <c r="M40" s="169"/>
      <c r="N40" s="170"/>
      <c r="O40" s="170"/>
      <c r="P40" s="169"/>
      <c r="Q40" s="170"/>
      <c r="R40" s="170"/>
      <c r="S40" s="169"/>
      <c r="T40" s="170"/>
      <c r="U40" s="170"/>
      <c r="V40" s="170"/>
      <c r="W40" s="169"/>
      <c r="X40" s="170"/>
      <c r="Y40" s="170"/>
      <c r="Z40" s="169"/>
      <c r="AA40" s="170"/>
      <c r="AB40" s="170"/>
      <c r="AC40" s="169"/>
      <c r="AD40" s="170"/>
      <c r="AE40" s="170"/>
      <c r="AF40" s="170"/>
      <c r="AG40" s="169"/>
      <c r="AH40" s="170"/>
      <c r="AI40" s="170"/>
      <c r="AJ40" s="169"/>
      <c r="AK40" s="170"/>
      <c r="AL40" s="170"/>
      <c r="AM40" s="169"/>
      <c r="AN40" s="170"/>
      <c r="AO40" s="170"/>
      <c r="AP40" s="170"/>
      <c r="AQ40" s="170"/>
      <c r="AR40" s="170"/>
      <c r="AS40" s="171"/>
    </row>
    <row r="41" spans="1:45" ht="26.25">
      <c r="A41" s="11" t="s">
        <v>388</v>
      </c>
      <c r="B41" s="158" t="s">
        <v>389</v>
      </c>
      <c r="C41" s="200"/>
      <c r="D41" s="201"/>
      <c r="E41" s="202">
        <f>SUM(C41:D41)</f>
        <v>0</v>
      </c>
      <c r="F41" s="200"/>
      <c r="G41" s="201">
        <v>2679</v>
      </c>
      <c r="H41" s="202">
        <f>SUM(F41:G41)</f>
        <v>2679</v>
      </c>
      <c r="I41" s="200"/>
      <c r="J41" s="201"/>
      <c r="K41" s="202">
        <f>SUM(I41:J41)</f>
        <v>0</v>
      </c>
      <c r="L41" s="214">
        <f>SUM(E41,H41,K41)</f>
        <v>2679</v>
      </c>
      <c r="M41" s="200"/>
      <c r="N41" s="201"/>
      <c r="O41" s="202">
        <f>SUM(M41:N41)</f>
        <v>0</v>
      </c>
      <c r="P41" s="200"/>
      <c r="Q41" s="201">
        <v>150</v>
      </c>
      <c r="R41" s="202">
        <f>SUM(P41:Q41)</f>
        <v>150</v>
      </c>
      <c r="S41" s="200"/>
      <c r="T41" s="201">
        <f>403+166</f>
        <v>569</v>
      </c>
      <c r="U41" s="202">
        <f>SUM(S41:T41)</f>
        <v>569</v>
      </c>
      <c r="V41" s="214">
        <f>SUM(O41,R41,U41)</f>
        <v>719</v>
      </c>
      <c r="W41" s="200"/>
      <c r="X41" s="201">
        <f>890+166</f>
        <v>1056</v>
      </c>
      <c r="Y41" s="202">
        <f>SUM(W41:X41)</f>
        <v>1056</v>
      </c>
      <c r="Z41" s="200"/>
      <c r="AA41" s="201">
        <f>165+61+28+232+152</f>
        <v>638</v>
      </c>
      <c r="AB41" s="202">
        <f>SUM(Z41:AA41)</f>
        <v>638</v>
      </c>
      <c r="AC41" s="200">
        <v>446</v>
      </c>
      <c r="AD41" s="201"/>
      <c r="AE41" s="202">
        <f>SUM(AC41:AD41)</f>
        <v>446</v>
      </c>
      <c r="AF41" s="214">
        <f>SUM(Y41,AB41,AE41)</f>
        <v>2140</v>
      </c>
      <c r="AG41" s="200">
        <v>1215</v>
      </c>
      <c r="AH41" s="201"/>
      <c r="AI41" s="202">
        <f>SUM(AG41:AH41)</f>
        <v>1215</v>
      </c>
      <c r="AJ41" s="200">
        <v>1189</v>
      </c>
      <c r="AK41" s="201"/>
      <c r="AL41" s="202">
        <f>SUM(AJ41:AK41)</f>
        <v>1189</v>
      </c>
      <c r="AM41" s="200">
        <v>394</v>
      </c>
      <c r="AN41" s="201"/>
      <c r="AO41" s="202">
        <f>SUM(AM41:AN41)</f>
        <v>394</v>
      </c>
      <c r="AP41" s="214">
        <f>SUM(AI41,AL41,AO41)</f>
        <v>2798</v>
      </c>
      <c r="AQ41" s="140">
        <f aca="true" t="shared" si="40" ref="AQ41:AR43">C41+F41+I41+M41+P41+S41+W41+Z41+AC41+AG41+AJ41+AM41</f>
        <v>3244</v>
      </c>
      <c r="AR41" s="140">
        <f t="shared" si="40"/>
        <v>5092</v>
      </c>
      <c r="AS41" s="140">
        <f t="shared" si="17"/>
        <v>8336</v>
      </c>
    </row>
    <row r="42" spans="1:45" ht="26.25">
      <c r="A42" s="11" t="s">
        <v>390</v>
      </c>
      <c r="B42" s="159" t="s">
        <v>391</v>
      </c>
      <c r="C42" s="191"/>
      <c r="D42" s="192"/>
      <c r="E42" s="193">
        <f>SUM(C42:D42)</f>
        <v>0</v>
      </c>
      <c r="F42" s="191"/>
      <c r="G42" s="192"/>
      <c r="H42" s="193">
        <f>SUM(F42:G42)</f>
        <v>0</v>
      </c>
      <c r="I42" s="191"/>
      <c r="J42" s="192"/>
      <c r="K42" s="193">
        <f>SUM(I42:J42)</f>
        <v>0</v>
      </c>
      <c r="L42" s="211">
        <f>SUM(E42,H42,K42)</f>
        <v>0</v>
      </c>
      <c r="M42" s="191"/>
      <c r="N42" s="192"/>
      <c r="O42" s="193">
        <f>SUM(M42:N42)</f>
        <v>0</v>
      </c>
      <c r="P42" s="191"/>
      <c r="Q42" s="192"/>
      <c r="R42" s="193">
        <f>SUM(P42:Q42)</f>
        <v>0</v>
      </c>
      <c r="S42" s="191"/>
      <c r="T42" s="192"/>
      <c r="U42" s="193">
        <f>SUM(S42:T42)</f>
        <v>0</v>
      </c>
      <c r="V42" s="211">
        <f>SUM(O42,R42,U42)</f>
        <v>0</v>
      </c>
      <c r="W42" s="191"/>
      <c r="X42" s="192"/>
      <c r="Y42" s="193">
        <f>SUM(W42:X42)</f>
        <v>0</v>
      </c>
      <c r="Z42" s="191"/>
      <c r="AA42" s="192"/>
      <c r="AB42" s="193">
        <f>SUM(Z42:AA42)</f>
        <v>0</v>
      </c>
      <c r="AC42" s="191"/>
      <c r="AD42" s="192"/>
      <c r="AE42" s="193">
        <f>SUM(AC42:AD42)</f>
        <v>0</v>
      </c>
      <c r="AF42" s="211">
        <f>SUM(Y42,AB42,AE42)</f>
        <v>0</v>
      </c>
      <c r="AG42" s="191"/>
      <c r="AH42" s="192"/>
      <c r="AI42" s="193">
        <f>SUM(AG42:AH42)</f>
        <v>0</v>
      </c>
      <c r="AJ42" s="191"/>
      <c r="AK42" s="192"/>
      <c r="AL42" s="193">
        <f>SUM(AJ42:AK42)</f>
        <v>0</v>
      </c>
      <c r="AM42" s="191"/>
      <c r="AN42" s="192"/>
      <c r="AO42" s="193">
        <f>SUM(AM42:AN42)</f>
        <v>0</v>
      </c>
      <c r="AP42" s="211">
        <f>SUM(AI42,AL42,AO42)</f>
        <v>0</v>
      </c>
      <c r="AQ42" s="144">
        <f t="shared" si="40"/>
        <v>0</v>
      </c>
      <c r="AR42" s="144">
        <f t="shared" si="40"/>
        <v>0</v>
      </c>
      <c r="AS42" s="144">
        <f t="shared" si="17"/>
        <v>0</v>
      </c>
    </row>
    <row r="43" spans="1:45" ht="26.25">
      <c r="A43" s="11" t="s">
        <v>392</v>
      </c>
      <c r="B43" s="159" t="s">
        <v>393</v>
      </c>
      <c r="C43" s="191"/>
      <c r="D43" s="192"/>
      <c r="E43" s="193">
        <f>SUM(C43:D43)</f>
        <v>0</v>
      </c>
      <c r="F43" s="191"/>
      <c r="G43" s="192"/>
      <c r="H43" s="193">
        <f>SUM(F43:G43)</f>
        <v>0</v>
      </c>
      <c r="I43" s="191"/>
      <c r="J43" s="192"/>
      <c r="K43" s="193">
        <f>SUM(I43:J43)</f>
        <v>0</v>
      </c>
      <c r="L43" s="211">
        <f>SUM(E43,H43,K43)</f>
        <v>0</v>
      </c>
      <c r="M43" s="191"/>
      <c r="N43" s="192"/>
      <c r="O43" s="193">
        <f>SUM(M43:N43)</f>
        <v>0</v>
      </c>
      <c r="P43" s="191"/>
      <c r="Q43" s="192"/>
      <c r="R43" s="193">
        <f>SUM(P43:Q43)</f>
        <v>0</v>
      </c>
      <c r="S43" s="191"/>
      <c r="T43" s="192"/>
      <c r="U43" s="193">
        <f>SUM(S43:T43)</f>
        <v>0</v>
      </c>
      <c r="V43" s="211">
        <f>SUM(O43,R43,U43)</f>
        <v>0</v>
      </c>
      <c r="W43" s="191"/>
      <c r="X43" s="192"/>
      <c r="Y43" s="193">
        <f>SUM(W43:X43)</f>
        <v>0</v>
      </c>
      <c r="Z43" s="191"/>
      <c r="AA43" s="192"/>
      <c r="AB43" s="193">
        <f>SUM(Z43:AA43)</f>
        <v>0</v>
      </c>
      <c r="AC43" s="191"/>
      <c r="AD43" s="192"/>
      <c r="AE43" s="193">
        <f>SUM(AC43:AD43)</f>
        <v>0</v>
      </c>
      <c r="AF43" s="211">
        <f>SUM(Y43,AB43,AE43)</f>
        <v>0</v>
      </c>
      <c r="AG43" s="191"/>
      <c r="AH43" s="192"/>
      <c r="AI43" s="193">
        <f>SUM(AG43:AH43)</f>
        <v>0</v>
      </c>
      <c r="AJ43" s="191"/>
      <c r="AK43" s="192"/>
      <c r="AL43" s="193">
        <f>SUM(AJ43:AK43)</f>
        <v>0</v>
      </c>
      <c r="AM43" s="191"/>
      <c r="AN43" s="192"/>
      <c r="AO43" s="193">
        <f>SUM(AM43:AN43)</f>
        <v>0</v>
      </c>
      <c r="AP43" s="211">
        <f>SUM(AI43,AL43,AO43)</f>
        <v>0</v>
      </c>
      <c r="AQ43" s="144">
        <f t="shared" si="40"/>
        <v>0</v>
      </c>
      <c r="AR43" s="144">
        <f t="shared" si="40"/>
        <v>0</v>
      </c>
      <c r="AS43" s="144">
        <f t="shared" si="17"/>
        <v>0</v>
      </c>
    </row>
    <row r="44" spans="1:45" ht="26.25">
      <c r="A44" s="11" t="s">
        <v>394</v>
      </c>
      <c r="B44" s="148" t="s">
        <v>395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50"/>
    </row>
    <row r="45" spans="1:45" ht="26.25">
      <c r="A45" s="11" t="s">
        <v>396</v>
      </c>
      <c r="B45" s="160" t="s">
        <v>397</v>
      </c>
      <c r="C45" s="191"/>
      <c r="D45" s="192"/>
      <c r="E45" s="193">
        <f>SUM(C45:D45)</f>
        <v>0</v>
      </c>
      <c r="F45" s="191"/>
      <c r="G45" s="192"/>
      <c r="H45" s="193">
        <f>SUM(F45:G45)</f>
        <v>0</v>
      </c>
      <c r="I45" s="191"/>
      <c r="J45" s="192"/>
      <c r="K45" s="193">
        <f>SUM(I45:J45)</f>
        <v>0</v>
      </c>
      <c r="L45" s="211">
        <f>SUM(E45,H45,K45)</f>
        <v>0</v>
      </c>
      <c r="M45" s="191"/>
      <c r="N45" s="192"/>
      <c r="O45" s="193">
        <f>SUM(M45:N45)</f>
        <v>0</v>
      </c>
      <c r="P45" s="191"/>
      <c r="Q45" s="192"/>
      <c r="R45" s="193">
        <f>SUM(P45:Q45)</f>
        <v>0</v>
      </c>
      <c r="S45" s="191"/>
      <c r="T45" s="192"/>
      <c r="U45" s="193">
        <f>SUM(S45:T45)</f>
        <v>0</v>
      </c>
      <c r="V45" s="211">
        <f>SUM(O45,R45,U45)</f>
        <v>0</v>
      </c>
      <c r="W45" s="191"/>
      <c r="X45" s="192"/>
      <c r="Y45" s="193">
        <f>SUM(W45:X45)</f>
        <v>0</v>
      </c>
      <c r="Z45" s="191"/>
      <c r="AA45" s="192"/>
      <c r="AB45" s="193">
        <f>SUM(Z45:AA45)</f>
        <v>0</v>
      </c>
      <c r="AC45" s="191"/>
      <c r="AD45" s="192"/>
      <c r="AE45" s="193">
        <f>SUM(AC45:AD45)</f>
        <v>0</v>
      </c>
      <c r="AF45" s="211">
        <f>SUM(Y45,AB45,AE45)</f>
        <v>0</v>
      </c>
      <c r="AG45" s="191"/>
      <c r="AH45" s="192"/>
      <c r="AI45" s="193">
        <f>SUM(AG45:AH45)</f>
        <v>0</v>
      </c>
      <c r="AJ45" s="191"/>
      <c r="AK45" s="192"/>
      <c r="AL45" s="193">
        <f>SUM(AJ45:AK45)</f>
        <v>0</v>
      </c>
      <c r="AM45" s="191"/>
      <c r="AN45" s="192"/>
      <c r="AO45" s="193">
        <f>SUM(AM45:AN45)</f>
        <v>0</v>
      </c>
      <c r="AP45" s="211">
        <f>SUM(AI45,AL45,AO45)</f>
        <v>0</v>
      </c>
      <c r="AQ45" s="144">
        <f>C45+F45+I45+M45+P45+S45+W45+Z45+AC45+AG45+AJ45+AM45</f>
        <v>0</v>
      </c>
      <c r="AR45" s="144">
        <f>D45+G45+J45+N45+Q45+T45+X45+AA45+AD45+AH45+AK45+AN45</f>
        <v>0</v>
      </c>
      <c r="AS45" s="144">
        <f t="shared" si="17"/>
        <v>0</v>
      </c>
    </row>
    <row r="46" spans="1:45" ht="26.25">
      <c r="A46" s="11" t="s">
        <v>398</v>
      </c>
      <c r="B46" s="161" t="s">
        <v>399</v>
      </c>
      <c r="C46" s="194"/>
      <c r="D46" s="195"/>
      <c r="E46" s="196">
        <f>SUM(C46:D46)</f>
        <v>0</v>
      </c>
      <c r="F46" s="194"/>
      <c r="G46" s="195"/>
      <c r="H46" s="196">
        <f>SUM(F46:G46)</f>
        <v>0</v>
      </c>
      <c r="I46" s="194"/>
      <c r="J46" s="195"/>
      <c r="K46" s="196">
        <f>SUM(I46:J46)</f>
        <v>0</v>
      </c>
      <c r="L46" s="213">
        <f>SUM(E46,H46,K46)</f>
        <v>0</v>
      </c>
      <c r="M46" s="194"/>
      <c r="N46" s="195"/>
      <c r="O46" s="196">
        <f>SUM(M46:N46)</f>
        <v>0</v>
      </c>
      <c r="P46" s="194"/>
      <c r="Q46" s="195"/>
      <c r="R46" s="196">
        <f>SUM(P46:Q46)</f>
        <v>0</v>
      </c>
      <c r="S46" s="194"/>
      <c r="T46" s="195"/>
      <c r="U46" s="196">
        <f>SUM(S46:T46)</f>
        <v>0</v>
      </c>
      <c r="V46" s="213">
        <f>SUM(O46,R46,U46)</f>
        <v>0</v>
      </c>
      <c r="W46" s="194"/>
      <c r="X46" s="195"/>
      <c r="Y46" s="196">
        <f>SUM(W46:X46)</f>
        <v>0</v>
      </c>
      <c r="Z46" s="194"/>
      <c r="AA46" s="195"/>
      <c r="AB46" s="196">
        <f>SUM(Z46:AA46)</f>
        <v>0</v>
      </c>
      <c r="AC46" s="194"/>
      <c r="AD46" s="195"/>
      <c r="AE46" s="196">
        <f>SUM(AC46:AD46)</f>
        <v>0</v>
      </c>
      <c r="AF46" s="213">
        <f>SUM(Y46,AB46,AE46)</f>
        <v>0</v>
      </c>
      <c r="AG46" s="194"/>
      <c r="AH46" s="195"/>
      <c r="AI46" s="196">
        <f>SUM(AG46:AH46)</f>
        <v>0</v>
      </c>
      <c r="AJ46" s="194"/>
      <c r="AK46" s="195"/>
      <c r="AL46" s="196">
        <f>SUM(AJ46:AK46)</f>
        <v>0</v>
      </c>
      <c r="AM46" s="194"/>
      <c r="AN46" s="195"/>
      <c r="AO46" s="196">
        <f>SUM(AM46:AN46)</f>
        <v>0</v>
      </c>
      <c r="AP46" s="213">
        <f>SUM(AI46,AL46,AO46)</f>
        <v>0</v>
      </c>
      <c r="AQ46" s="157">
        <f>C46+F46+I46+M46+P46+S46+W46+Z46+AC46+AG46+AJ46+AM46</f>
        <v>0</v>
      </c>
      <c r="AR46" s="157">
        <f>D46+G46+J46+N46+Q46+T46+X46+AA46+AD46+AH46+AK46+AN46</f>
        <v>0</v>
      </c>
      <c r="AS46" s="157">
        <f t="shared" si="17"/>
        <v>0</v>
      </c>
    </row>
    <row r="47" spans="2:45" ht="54" customHeight="1">
      <c r="B47" s="169" t="s">
        <v>400</v>
      </c>
      <c r="C47" s="169"/>
      <c r="D47" s="170"/>
      <c r="E47" s="170"/>
      <c r="F47" s="169"/>
      <c r="G47" s="170"/>
      <c r="H47" s="170"/>
      <c r="I47" s="169"/>
      <c r="J47" s="170"/>
      <c r="K47" s="170"/>
      <c r="L47" s="170"/>
      <c r="M47" s="169"/>
      <c r="N47" s="170"/>
      <c r="O47" s="170"/>
      <c r="P47" s="169"/>
      <c r="Q47" s="170"/>
      <c r="R47" s="170"/>
      <c r="S47" s="169"/>
      <c r="T47" s="170"/>
      <c r="U47" s="170"/>
      <c r="V47" s="170"/>
      <c r="W47" s="169"/>
      <c r="X47" s="170"/>
      <c r="Y47" s="170"/>
      <c r="Z47" s="169"/>
      <c r="AA47" s="170"/>
      <c r="AB47" s="170"/>
      <c r="AC47" s="169"/>
      <c r="AD47" s="170"/>
      <c r="AE47" s="170"/>
      <c r="AF47" s="170"/>
      <c r="AG47" s="169"/>
      <c r="AH47" s="170"/>
      <c r="AI47" s="170"/>
      <c r="AJ47" s="169"/>
      <c r="AK47" s="170"/>
      <c r="AL47" s="170"/>
      <c r="AM47" s="169"/>
      <c r="AN47" s="170"/>
      <c r="AO47" s="170"/>
      <c r="AP47" s="170"/>
      <c r="AQ47" s="170"/>
      <c r="AR47" s="170"/>
      <c r="AS47" s="171"/>
    </row>
    <row r="48" spans="1:45" ht="26.25">
      <c r="A48" s="11" t="s">
        <v>401</v>
      </c>
      <c r="B48" s="163" t="s">
        <v>402</v>
      </c>
      <c r="C48" s="200"/>
      <c r="D48" s="201"/>
      <c r="E48" s="202">
        <f>SUM(C48:D48)</f>
        <v>0</v>
      </c>
      <c r="F48" s="200"/>
      <c r="G48" s="201"/>
      <c r="H48" s="202">
        <f>SUM(F48:G48)</f>
        <v>0</v>
      </c>
      <c r="I48" s="200"/>
      <c r="J48" s="201"/>
      <c r="K48" s="202">
        <f>SUM(I48:J48)</f>
        <v>0</v>
      </c>
      <c r="L48" s="214">
        <f>SUM(E48,H48,K48)</f>
        <v>0</v>
      </c>
      <c r="M48" s="200"/>
      <c r="N48" s="201"/>
      <c r="O48" s="202">
        <f>SUM(M48:N48)</f>
        <v>0</v>
      </c>
      <c r="P48" s="200"/>
      <c r="Q48" s="201"/>
      <c r="R48" s="202">
        <f>SUM(P48:Q48)</f>
        <v>0</v>
      </c>
      <c r="S48" s="200"/>
      <c r="T48" s="201"/>
      <c r="U48" s="202">
        <f>SUM(S48:T48)</f>
        <v>0</v>
      </c>
      <c r="V48" s="214">
        <f>SUM(O48,R48,U48)</f>
        <v>0</v>
      </c>
      <c r="W48" s="200"/>
      <c r="X48" s="201"/>
      <c r="Y48" s="202">
        <f>SUM(W48:X48)</f>
        <v>0</v>
      </c>
      <c r="Z48" s="200"/>
      <c r="AA48" s="201"/>
      <c r="AB48" s="202">
        <f>SUM(Z48:AA48)</f>
        <v>0</v>
      </c>
      <c r="AC48" s="200"/>
      <c r="AD48" s="201"/>
      <c r="AE48" s="202">
        <f>SUM(AC48:AD48)</f>
        <v>0</v>
      </c>
      <c r="AF48" s="214">
        <f>SUM(Y48,AB48,AE48)</f>
        <v>0</v>
      </c>
      <c r="AG48" s="200"/>
      <c r="AH48" s="201"/>
      <c r="AI48" s="202">
        <f>SUM(AG48:AH48)</f>
        <v>0</v>
      </c>
      <c r="AJ48" s="200"/>
      <c r="AK48" s="201"/>
      <c r="AL48" s="202">
        <f>SUM(AJ48:AK48)</f>
        <v>0</v>
      </c>
      <c r="AM48" s="200"/>
      <c r="AN48" s="201"/>
      <c r="AO48" s="202">
        <f>SUM(AM48:AN48)</f>
        <v>0</v>
      </c>
      <c r="AP48" s="214">
        <f>SUM(AI48,AL48,AO48)</f>
        <v>0</v>
      </c>
      <c r="AQ48" s="140">
        <f aca="true" t="shared" si="41" ref="AQ48:AR50">C48+F48+I48+M48+P48+S48+W48+Z48+AC48+AG48+AJ48+AM48</f>
        <v>0</v>
      </c>
      <c r="AR48" s="140">
        <f t="shared" si="41"/>
        <v>0</v>
      </c>
      <c r="AS48" s="140">
        <f t="shared" si="17"/>
        <v>0</v>
      </c>
    </row>
    <row r="49" spans="1:45" ht="26.25">
      <c r="A49" s="11" t="s">
        <v>403</v>
      </c>
      <c r="B49" s="153" t="s">
        <v>404</v>
      </c>
      <c r="C49" s="191"/>
      <c r="D49" s="192"/>
      <c r="E49" s="193">
        <f>SUM(C49:D49)</f>
        <v>0</v>
      </c>
      <c r="F49" s="191"/>
      <c r="G49" s="192"/>
      <c r="H49" s="193">
        <f>SUM(F49:G49)</f>
        <v>0</v>
      </c>
      <c r="I49" s="191"/>
      <c r="J49" s="192"/>
      <c r="K49" s="193">
        <f>SUM(I49:J49)</f>
        <v>0</v>
      </c>
      <c r="L49" s="211">
        <f>SUM(E49,H49,K49)</f>
        <v>0</v>
      </c>
      <c r="M49" s="191"/>
      <c r="N49" s="192"/>
      <c r="O49" s="193">
        <f>SUM(M49:N49)</f>
        <v>0</v>
      </c>
      <c r="P49" s="191"/>
      <c r="Q49" s="192"/>
      <c r="R49" s="193">
        <f>SUM(P49:Q49)</f>
        <v>0</v>
      </c>
      <c r="S49" s="191"/>
      <c r="T49" s="192"/>
      <c r="U49" s="193">
        <f>SUM(S49:T49)</f>
        <v>0</v>
      </c>
      <c r="V49" s="211">
        <f>SUM(O49,R49,U49)</f>
        <v>0</v>
      </c>
      <c r="W49" s="191"/>
      <c r="X49" s="192"/>
      <c r="Y49" s="193">
        <f>SUM(W49:X49)</f>
        <v>0</v>
      </c>
      <c r="Z49" s="191"/>
      <c r="AA49" s="192"/>
      <c r="AB49" s="193">
        <f>SUM(Z49:AA49)</f>
        <v>0</v>
      </c>
      <c r="AC49" s="191"/>
      <c r="AD49" s="192"/>
      <c r="AE49" s="193">
        <f>SUM(AC49:AD49)</f>
        <v>0</v>
      </c>
      <c r="AF49" s="211">
        <f>SUM(Y49,AB49,AE49)</f>
        <v>0</v>
      </c>
      <c r="AG49" s="191"/>
      <c r="AH49" s="192"/>
      <c r="AI49" s="193">
        <f>SUM(AG49:AH49)</f>
        <v>0</v>
      </c>
      <c r="AJ49" s="191"/>
      <c r="AK49" s="192"/>
      <c r="AL49" s="193">
        <f>SUM(AJ49:AK49)</f>
        <v>0</v>
      </c>
      <c r="AM49" s="191"/>
      <c r="AN49" s="192"/>
      <c r="AO49" s="193">
        <f>SUM(AM49:AN49)</f>
        <v>0</v>
      </c>
      <c r="AP49" s="211">
        <f>SUM(AI49,AL49,AO49)</f>
        <v>0</v>
      </c>
      <c r="AQ49" s="144">
        <f t="shared" si="41"/>
        <v>0</v>
      </c>
      <c r="AR49" s="144">
        <f t="shared" si="41"/>
        <v>0</v>
      </c>
      <c r="AS49" s="144">
        <f t="shared" si="17"/>
        <v>0</v>
      </c>
    </row>
    <row r="50" spans="1:45" ht="26.25">
      <c r="A50" s="11" t="s">
        <v>405</v>
      </c>
      <c r="B50" s="156" t="s">
        <v>406</v>
      </c>
      <c r="C50" s="194"/>
      <c r="D50" s="195"/>
      <c r="E50" s="196">
        <f>SUM(C50:D50)</f>
        <v>0</v>
      </c>
      <c r="F50" s="194"/>
      <c r="G50" s="195"/>
      <c r="H50" s="196">
        <f>SUM(F50:G50)</f>
        <v>0</v>
      </c>
      <c r="I50" s="194"/>
      <c r="J50" s="195"/>
      <c r="K50" s="196">
        <f>SUM(I50:J50)</f>
        <v>0</v>
      </c>
      <c r="L50" s="213">
        <f>SUM(E50,H50,K50)</f>
        <v>0</v>
      </c>
      <c r="M50" s="194"/>
      <c r="N50" s="195"/>
      <c r="O50" s="196">
        <f>SUM(M50:N50)</f>
        <v>0</v>
      </c>
      <c r="P50" s="194"/>
      <c r="Q50" s="195"/>
      <c r="R50" s="196">
        <f>SUM(P50:Q50)</f>
        <v>0</v>
      </c>
      <c r="S50" s="194"/>
      <c r="T50" s="195"/>
      <c r="U50" s="196">
        <f>SUM(S50:T50)</f>
        <v>0</v>
      </c>
      <c r="V50" s="213">
        <f>SUM(O50,R50,U50)</f>
        <v>0</v>
      </c>
      <c r="W50" s="194"/>
      <c r="X50" s="195"/>
      <c r="Y50" s="196">
        <f>SUM(W50:X50)</f>
        <v>0</v>
      </c>
      <c r="Z50" s="194"/>
      <c r="AA50" s="195"/>
      <c r="AB50" s="196">
        <f>SUM(Z50:AA50)</f>
        <v>0</v>
      </c>
      <c r="AC50" s="194"/>
      <c r="AD50" s="195"/>
      <c r="AE50" s="196">
        <f>SUM(AC50:AD50)</f>
        <v>0</v>
      </c>
      <c r="AF50" s="213">
        <f>SUM(Y50,AB50,AE50)</f>
        <v>0</v>
      </c>
      <c r="AG50" s="194"/>
      <c r="AH50" s="195"/>
      <c r="AI50" s="196">
        <f>SUM(AG50:AH50)</f>
        <v>0</v>
      </c>
      <c r="AJ50" s="194"/>
      <c r="AK50" s="195"/>
      <c r="AL50" s="196">
        <f>SUM(AJ50:AK50)</f>
        <v>0</v>
      </c>
      <c r="AM50" s="194"/>
      <c r="AN50" s="195"/>
      <c r="AO50" s="196">
        <f>SUM(AM50:AN50)</f>
        <v>0</v>
      </c>
      <c r="AP50" s="213">
        <f>SUM(AI50,AL50,AO50)</f>
        <v>0</v>
      </c>
      <c r="AQ50" s="157">
        <f t="shared" si="41"/>
        <v>0</v>
      </c>
      <c r="AR50" s="157">
        <f t="shared" si="41"/>
        <v>0</v>
      </c>
      <c r="AS50" s="157">
        <f t="shared" si="17"/>
        <v>0</v>
      </c>
    </row>
    <row r="51" spans="2:45" ht="56.25" customHeight="1">
      <c r="B51" s="169" t="s">
        <v>407</v>
      </c>
      <c r="C51" s="169"/>
      <c r="D51" s="170"/>
      <c r="E51" s="170"/>
      <c r="F51" s="169"/>
      <c r="G51" s="170"/>
      <c r="H51" s="170"/>
      <c r="I51" s="169"/>
      <c r="J51" s="170"/>
      <c r="K51" s="170"/>
      <c r="L51" s="170"/>
      <c r="M51" s="169"/>
      <c r="N51" s="170"/>
      <c r="O51" s="170"/>
      <c r="P51" s="169"/>
      <c r="Q51" s="170"/>
      <c r="R51" s="170"/>
      <c r="S51" s="169"/>
      <c r="T51" s="170"/>
      <c r="U51" s="170"/>
      <c r="V51" s="170"/>
      <c r="W51" s="169"/>
      <c r="X51" s="170"/>
      <c r="Y51" s="170"/>
      <c r="Z51" s="169"/>
      <c r="AA51" s="170"/>
      <c r="AB51" s="170"/>
      <c r="AC51" s="169"/>
      <c r="AD51" s="170"/>
      <c r="AE51" s="170"/>
      <c r="AF51" s="170"/>
      <c r="AG51" s="169"/>
      <c r="AH51" s="170"/>
      <c r="AI51" s="170"/>
      <c r="AJ51" s="169"/>
      <c r="AK51" s="170"/>
      <c r="AL51" s="170"/>
      <c r="AM51" s="169"/>
      <c r="AN51" s="170"/>
      <c r="AO51" s="170"/>
      <c r="AP51" s="170"/>
      <c r="AQ51" s="170"/>
      <c r="AR51" s="170"/>
      <c r="AS51" s="171"/>
    </row>
    <row r="52" spans="1:45" ht="26.25">
      <c r="A52" s="11" t="s">
        <v>408</v>
      </c>
      <c r="B52" s="7" t="s">
        <v>409</v>
      </c>
      <c r="C52" s="203"/>
      <c r="D52" s="204"/>
      <c r="E52" s="205">
        <f>SUM(C52:D52)</f>
        <v>0</v>
      </c>
      <c r="F52" s="203"/>
      <c r="G52" s="204"/>
      <c r="H52" s="205">
        <f>SUM(F52:G52)</f>
        <v>0</v>
      </c>
      <c r="I52" s="203"/>
      <c r="J52" s="204"/>
      <c r="K52" s="205">
        <f>SUM(I52:J52)</f>
        <v>0</v>
      </c>
      <c r="L52" s="210">
        <f>SUM(E52,H52,K52)</f>
        <v>0</v>
      </c>
      <c r="M52" s="203"/>
      <c r="N52" s="204"/>
      <c r="O52" s="205">
        <f>SUM(M52:N52)</f>
        <v>0</v>
      </c>
      <c r="P52" s="203"/>
      <c r="Q52" s="204"/>
      <c r="R52" s="205">
        <f>SUM(P52:Q52)</f>
        <v>0</v>
      </c>
      <c r="S52" s="203"/>
      <c r="T52" s="204"/>
      <c r="U52" s="205">
        <f>SUM(S52:T52)</f>
        <v>0</v>
      </c>
      <c r="V52" s="210">
        <f>SUM(O52,R52,U52)</f>
        <v>0</v>
      </c>
      <c r="W52" s="203"/>
      <c r="X52" s="204"/>
      <c r="Y52" s="205">
        <f>SUM(W52:X52)</f>
        <v>0</v>
      </c>
      <c r="Z52" s="203"/>
      <c r="AA52" s="204"/>
      <c r="AB52" s="205">
        <f>SUM(Z52:AA52)</f>
        <v>0</v>
      </c>
      <c r="AC52" s="203"/>
      <c r="AD52" s="204"/>
      <c r="AE52" s="205">
        <f>SUM(AC52:AD52)</f>
        <v>0</v>
      </c>
      <c r="AF52" s="210">
        <f>SUM(Y52,AB52,AE52)</f>
        <v>0</v>
      </c>
      <c r="AG52" s="203"/>
      <c r="AH52" s="204"/>
      <c r="AI52" s="205">
        <f>SUM(AG52:AH52)</f>
        <v>0</v>
      </c>
      <c r="AJ52" s="203"/>
      <c r="AK52" s="204"/>
      <c r="AL52" s="205">
        <f>SUM(AJ52:AK52)</f>
        <v>0</v>
      </c>
      <c r="AM52" s="203"/>
      <c r="AN52" s="204"/>
      <c r="AO52" s="205">
        <f>SUM(AM52:AN52)</f>
        <v>0</v>
      </c>
      <c r="AP52" s="210">
        <f>SUM(AI52,AL52,AO52)</f>
        <v>0</v>
      </c>
      <c r="AQ52" s="15">
        <f>C52+F52+I52+M52+P52+S52+W52+Z52+AC52+AG52+AJ52+AM52</f>
        <v>0</v>
      </c>
      <c r="AR52" s="15">
        <f>D52+G52+J52+N52+Q52+T52+X52+AA52+AD52+AH52+AK52+AN52</f>
        <v>0</v>
      </c>
      <c r="AS52" s="15">
        <f t="shared" si="17"/>
        <v>0</v>
      </c>
    </row>
    <row r="53" spans="1:45" ht="26.25">
      <c r="A53" s="11" t="s">
        <v>410</v>
      </c>
      <c r="B53" s="172" t="s">
        <v>411</v>
      </c>
      <c r="C53" s="173">
        <f aca="true" t="shared" si="42" ref="C53:AS53">SUM(C52,C48:C50,C45:C46,C41:C43,C38:C39,C31:C36,C26:C29,C22:C24,C19:C20,C15:C17,C12)</f>
        <v>9981</v>
      </c>
      <c r="D53" s="174">
        <f t="shared" si="42"/>
        <v>4878</v>
      </c>
      <c r="E53" s="175">
        <f t="shared" si="42"/>
        <v>14859</v>
      </c>
      <c r="F53" s="173">
        <f t="shared" si="42"/>
        <v>24405</v>
      </c>
      <c r="G53" s="174">
        <f t="shared" si="42"/>
        <v>17093</v>
      </c>
      <c r="H53" s="175">
        <f t="shared" si="42"/>
        <v>41498</v>
      </c>
      <c r="I53" s="173">
        <f t="shared" si="42"/>
        <v>41004</v>
      </c>
      <c r="J53" s="174">
        <f t="shared" si="42"/>
        <v>6697</v>
      </c>
      <c r="K53" s="175">
        <f t="shared" si="42"/>
        <v>47701</v>
      </c>
      <c r="L53" s="176">
        <f t="shared" si="42"/>
        <v>104058</v>
      </c>
      <c r="M53" s="173">
        <f t="shared" si="42"/>
        <v>27872</v>
      </c>
      <c r="N53" s="174">
        <f t="shared" si="42"/>
        <v>2729</v>
      </c>
      <c r="O53" s="175">
        <f t="shared" si="42"/>
        <v>30601</v>
      </c>
      <c r="P53" s="173">
        <f t="shared" si="42"/>
        <v>36306</v>
      </c>
      <c r="Q53" s="174">
        <f t="shared" si="42"/>
        <v>4989</v>
      </c>
      <c r="R53" s="175">
        <f t="shared" si="42"/>
        <v>41295</v>
      </c>
      <c r="S53" s="173">
        <f t="shared" si="42"/>
        <v>29720</v>
      </c>
      <c r="T53" s="174">
        <f t="shared" si="42"/>
        <v>1724</v>
      </c>
      <c r="U53" s="175">
        <f t="shared" si="42"/>
        <v>31444</v>
      </c>
      <c r="V53" s="176">
        <f t="shared" si="42"/>
        <v>103340</v>
      </c>
      <c r="W53" s="173">
        <f t="shared" si="42"/>
        <v>23975</v>
      </c>
      <c r="X53" s="174">
        <f t="shared" si="42"/>
        <v>1642</v>
      </c>
      <c r="Y53" s="175">
        <f t="shared" si="42"/>
        <v>25617</v>
      </c>
      <c r="Z53" s="173">
        <f t="shared" si="42"/>
        <v>38970</v>
      </c>
      <c r="AA53" s="174">
        <f t="shared" si="42"/>
        <v>1510</v>
      </c>
      <c r="AB53" s="175">
        <f t="shared" si="42"/>
        <v>40480</v>
      </c>
      <c r="AC53" s="173">
        <f t="shared" si="42"/>
        <v>31770</v>
      </c>
      <c r="AD53" s="174">
        <f t="shared" si="42"/>
        <v>1300</v>
      </c>
      <c r="AE53" s="175">
        <f t="shared" si="42"/>
        <v>33070</v>
      </c>
      <c r="AF53" s="176">
        <f t="shared" si="42"/>
        <v>99167</v>
      </c>
      <c r="AG53" s="173">
        <f t="shared" si="42"/>
        <v>34115</v>
      </c>
      <c r="AH53" s="174">
        <f t="shared" si="42"/>
        <v>1300</v>
      </c>
      <c r="AI53" s="175">
        <f t="shared" si="42"/>
        <v>35415</v>
      </c>
      <c r="AJ53" s="173">
        <f t="shared" si="42"/>
        <v>33089</v>
      </c>
      <c r="AK53" s="174">
        <f t="shared" si="42"/>
        <v>1300</v>
      </c>
      <c r="AL53" s="175">
        <f t="shared" si="42"/>
        <v>34389</v>
      </c>
      <c r="AM53" s="173">
        <f t="shared" si="42"/>
        <v>32482</v>
      </c>
      <c r="AN53" s="174">
        <f t="shared" si="42"/>
        <v>8300</v>
      </c>
      <c r="AO53" s="175">
        <f t="shared" si="42"/>
        <v>40782</v>
      </c>
      <c r="AP53" s="176">
        <f t="shared" si="42"/>
        <v>110586</v>
      </c>
      <c r="AQ53" s="176">
        <f t="shared" si="42"/>
        <v>363689</v>
      </c>
      <c r="AR53" s="176">
        <f t="shared" si="42"/>
        <v>53462</v>
      </c>
      <c r="AS53" s="176">
        <f t="shared" si="42"/>
        <v>417151</v>
      </c>
    </row>
    <row r="54" spans="2:45" ht="46.5" customHeight="1">
      <c r="B54" s="169" t="s">
        <v>412</v>
      </c>
      <c r="C54" s="169"/>
      <c r="D54" s="170"/>
      <c r="E54" s="170"/>
      <c r="F54" s="169"/>
      <c r="G54" s="170"/>
      <c r="H54" s="170"/>
      <c r="I54" s="169"/>
      <c r="J54" s="170"/>
      <c r="K54" s="170"/>
      <c r="L54" s="170"/>
      <c r="M54" s="169"/>
      <c r="N54" s="170"/>
      <c r="O54" s="170"/>
      <c r="P54" s="169"/>
      <c r="Q54" s="170"/>
      <c r="R54" s="170"/>
      <c r="S54" s="169"/>
      <c r="T54" s="170"/>
      <c r="U54" s="170"/>
      <c r="V54" s="170"/>
      <c r="W54" s="169"/>
      <c r="X54" s="170"/>
      <c r="Y54" s="170"/>
      <c r="Z54" s="169"/>
      <c r="AA54" s="170"/>
      <c r="AB54" s="170"/>
      <c r="AC54" s="169"/>
      <c r="AD54" s="170"/>
      <c r="AE54" s="170"/>
      <c r="AF54" s="170"/>
      <c r="AG54" s="169"/>
      <c r="AH54" s="170"/>
      <c r="AI54" s="170"/>
      <c r="AJ54" s="169"/>
      <c r="AK54" s="170"/>
      <c r="AL54" s="170"/>
      <c r="AM54" s="169"/>
      <c r="AN54" s="170"/>
      <c r="AO54" s="170"/>
      <c r="AP54" s="170"/>
      <c r="AQ54" s="170"/>
      <c r="AR54" s="170"/>
      <c r="AS54" s="171"/>
    </row>
    <row r="55" spans="1:45" ht="26.25">
      <c r="A55" s="11" t="s">
        <v>413</v>
      </c>
      <c r="B55" s="163" t="s">
        <v>414</v>
      </c>
      <c r="C55" s="200">
        <v>6172</v>
      </c>
      <c r="D55" s="201">
        <v>2213</v>
      </c>
      <c r="E55" s="202">
        <f aca="true" t="shared" si="43" ref="E55:E70">SUM(C55:D55)</f>
        <v>8385</v>
      </c>
      <c r="F55" s="200">
        <v>6156</v>
      </c>
      <c r="G55" s="201">
        <f>978-6</f>
        <v>972</v>
      </c>
      <c r="H55" s="202">
        <f aca="true" t="shared" si="44" ref="H55:H70">SUM(F55:G55)</f>
        <v>7128</v>
      </c>
      <c r="I55" s="200">
        <v>6274</v>
      </c>
      <c r="J55" s="201">
        <f>1177-36</f>
        <v>1141</v>
      </c>
      <c r="K55" s="202">
        <f aca="true" t="shared" si="45" ref="K55:K70">SUM(I55:J55)</f>
        <v>7415</v>
      </c>
      <c r="L55" s="214">
        <f aca="true" t="shared" si="46" ref="L55:L70">SUM(E55,H55,K55)</f>
        <v>22928</v>
      </c>
      <c r="M55" s="200">
        <f>7334-17</f>
        <v>7317</v>
      </c>
      <c r="N55" s="201">
        <f>121-51</f>
        <v>70</v>
      </c>
      <c r="O55" s="202">
        <f aca="true" t="shared" si="47" ref="O55:O70">SUM(M55:N55)</f>
        <v>7387</v>
      </c>
      <c r="P55" s="200">
        <f>7000-11</f>
        <v>6989</v>
      </c>
      <c r="Q55" s="201">
        <v>841</v>
      </c>
      <c r="R55" s="202">
        <f aca="true" t="shared" si="48" ref="R55:R70">SUM(P55:Q55)</f>
        <v>7830</v>
      </c>
      <c r="S55" s="200">
        <f>7513-14</f>
        <v>7499</v>
      </c>
      <c r="T55" s="201">
        <f>28-4</f>
        <v>24</v>
      </c>
      <c r="U55" s="202">
        <f aca="true" t="shared" si="49" ref="U55:U70">SUM(S55:T55)</f>
        <v>7523</v>
      </c>
      <c r="V55" s="214">
        <f aca="true" t="shared" si="50" ref="V55:V70">SUM(O55,R55,U55)</f>
        <v>22740</v>
      </c>
      <c r="W55" s="200">
        <f>4466+3756-30</f>
        <v>8192</v>
      </c>
      <c r="X55" s="201">
        <f>201-4</f>
        <v>197</v>
      </c>
      <c r="Y55" s="202">
        <f aca="true" t="shared" si="51" ref="Y55:Y70">SUM(W55:X55)</f>
        <v>8389</v>
      </c>
      <c r="Z55" s="200">
        <f>3795+4964-20</f>
        <v>8739</v>
      </c>
      <c r="AA55" s="201">
        <f>99-2</f>
        <v>97</v>
      </c>
      <c r="AB55" s="202">
        <f aca="true" t="shared" si="52" ref="AB55:AB70">SUM(Z55:AA55)</f>
        <v>8836</v>
      </c>
      <c r="AC55" s="200">
        <v>7700</v>
      </c>
      <c r="AD55" s="201"/>
      <c r="AE55" s="202">
        <f aca="true" t="shared" si="53" ref="AE55:AE70">SUM(AC55:AD55)</f>
        <v>7700</v>
      </c>
      <c r="AF55" s="214">
        <f aca="true" t="shared" si="54" ref="AF55:AF70">SUM(Y55,AB55,AE55)</f>
        <v>24925</v>
      </c>
      <c r="AG55" s="200">
        <v>8300</v>
      </c>
      <c r="AH55" s="201"/>
      <c r="AI55" s="202">
        <f aca="true" t="shared" si="55" ref="AI55:AI70">SUM(AG55:AH55)</f>
        <v>8300</v>
      </c>
      <c r="AJ55" s="200">
        <v>7700</v>
      </c>
      <c r="AK55" s="201"/>
      <c r="AL55" s="202">
        <f aca="true" t="shared" si="56" ref="AL55:AL70">SUM(AJ55:AK55)</f>
        <v>7700</v>
      </c>
      <c r="AM55" s="200">
        <v>15000</v>
      </c>
      <c r="AN55" s="201"/>
      <c r="AO55" s="202">
        <f aca="true" t="shared" si="57" ref="AO55:AO70">SUM(AM55:AN55)</f>
        <v>15000</v>
      </c>
      <c r="AP55" s="214">
        <f aca="true" t="shared" si="58" ref="AP55:AP70">SUM(AI55,AL55,AO55)</f>
        <v>31000</v>
      </c>
      <c r="AQ55" s="140">
        <f aca="true" t="shared" si="59" ref="AQ55:AR70">C55+F55+I55+M55+P55+S55+W55+Z55+AC55+AG55+AJ55+AM55</f>
        <v>96038</v>
      </c>
      <c r="AR55" s="140">
        <f t="shared" si="59"/>
        <v>5555</v>
      </c>
      <c r="AS55" s="140">
        <f t="shared" si="17"/>
        <v>101593</v>
      </c>
    </row>
    <row r="56" spans="1:45" ht="26.25">
      <c r="A56" s="11" t="s">
        <v>415</v>
      </c>
      <c r="B56" s="153" t="s">
        <v>416</v>
      </c>
      <c r="C56" s="191">
        <v>75</v>
      </c>
      <c r="D56" s="192">
        <v>1032</v>
      </c>
      <c r="E56" s="193">
        <f t="shared" si="43"/>
        <v>1107</v>
      </c>
      <c r="F56" s="191">
        <v>454</v>
      </c>
      <c r="G56" s="192">
        <v>587</v>
      </c>
      <c r="H56" s="193">
        <f t="shared" si="44"/>
        <v>1041</v>
      </c>
      <c r="I56" s="191">
        <v>1291</v>
      </c>
      <c r="J56" s="192">
        <v>1077</v>
      </c>
      <c r="K56" s="193">
        <f t="shared" si="45"/>
        <v>2368</v>
      </c>
      <c r="L56" s="211">
        <f t="shared" si="46"/>
        <v>4516</v>
      </c>
      <c r="M56" s="191">
        <v>1143</v>
      </c>
      <c r="N56" s="192">
        <v>161</v>
      </c>
      <c r="O56" s="193">
        <f t="shared" si="47"/>
        <v>1304</v>
      </c>
      <c r="P56" s="191">
        <v>1902</v>
      </c>
      <c r="Q56" s="192">
        <v>120</v>
      </c>
      <c r="R56" s="193">
        <f t="shared" si="48"/>
        <v>2022</v>
      </c>
      <c r="S56" s="191">
        <v>982</v>
      </c>
      <c r="T56" s="192"/>
      <c r="U56" s="193">
        <f t="shared" si="49"/>
        <v>982</v>
      </c>
      <c r="V56" s="211">
        <f t="shared" si="50"/>
        <v>4308</v>
      </c>
      <c r="W56" s="191">
        <f>2520+144</f>
        <v>2664</v>
      </c>
      <c r="X56" s="192">
        <v>780</v>
      </c>
      <c r="Y56" s="193">
        <f t="shared" si="51"/>
        <v>3444</v>
      </c>
      <c r="Z56" s="191">
        <f>1004+191</f>
        <v>1195</v>
      </c>
      <c r="AA56" s="192">
        <v>2</v>
      </c>
      <c r="AB56" s="193">
        <f t="shared" si="52"/>
        <v>1197</v>
      </c>
      <c r="AC56" s="191">
        <v>1000</v>
      </c>
      <c r="AD56" s="192">
        <v>100</v>
      </c>
      <c r="AE56" s="193">
        <f t="shared" si="53"/>
        <v>1100</v>
      </c>
      <c r="AF56" s="211">
        <f t="shared" si="54"/>
        <v>5741</v>
      </c>
      <c r="AG56" s="191">
        <v>1000</v>
      </c>
      <c r="AH56" s="192">
        <v>100</v>
      </c>
      <c r="AI56" s="193">
        <f t="shared" si="55"/>
        <v>1100</v>
      </c>
      <c r="AJ56" s="191">
        <v>1000</v>
      </c>
      <c r="AK56" s="192">
        <v>100</v>
      </c>
      <c r="AL56" s="193">
        <f t="shared" si="56"/>
        <v>1100</v>
      </c>
      <c r="AM56" s="191">
        <v>800</v>
      </c>
      <c r="AN56" s="192">
        <v>100</v>
      </c>
      <c r="AO56" s="193">
        <f t="shared" si="57"/>
        <v>900</v>
      </c>
      <c r="AP56" s="211">
        <f t="shared" si="58"/>
        <v>3100</v>
      </c>
      <c r="AQ56" s="144">
        <f t="shared" si="59"/>
        <v>13506</v>
      </c>
      <c r="AR56" s="144">
        <f t="shared" si="59"/>
        <v>4159</v>
      </c>
      <c r="AS56" s="144">
        <f t="shared" si="17"/>
        <v>17665</v>
      </c>
    </row>
    <row r="57" spans="1:45" ht="26.25">
      <c r="A57" s="11" t="s">
        <v>417</v>
      </c>
      <c r="B57" s="154" t="s">
        <v>418</v>
      </c>
      <c r="C57" s="194"/>
      <c r="D57" s="195">
        <v>7</v>
      </c>
      <c r="E57" s="196">
        <f t="shared" si="43"/>
        <v>7</v>
      </c>
      <c r="F57" s="194">
        <v>7768</v>
      </c>
      <c r="G57" s="195">
        <v>292</v>
      </c>
      <c r="H57" s="196">
        <f t="shared" si="44"/>
        <v>8060</v>
      </c>
      <c r="I57" s="194">
        <f>7080</f>
        <v>7080</v>
      </c>
      <c r="J57" s="195">
        <v>79</v>
      </c>
      <c r="K57" s="196">
        <f t="shared" si="45"/>
        <v>7159</v>
      </c>
      <c r="L57" s="212">
        <f t="shared" si="46"/>
        <v>15226</v>
      </c>
      <c r="M57" s="194">
        <v>9341</v>
      </c>
      <c r="N57" s="195">
        <v>226</v>
      </c>
      <c r="O57" s="196">
        <f t="shared" si="47"/>
        <v>9567</v>
      </c>
      <c r="P57" s="194">
        <v>8139</v>
      </c>
      <c r="Q57" s="195">
        <v>5</v>
      </c>
      <c r="R57" s="196">
        <f t="shared" si="48"/>
        <v>8144</v>
      </c>
      <c r="S57" s="194">
        <f>9898+166</f>
        <v>10064</v>
      </c>
      <c r="T57" s="195">
        <v>2</v>
      </c>
      <c r="U57" s="196">
        <f t="shared" si="49"/>
        <v>10066</v>
      </c>
      <c r="V57" s="212">
        <f t="shared" si="50"/>
        <v>27777</v>
      </c>
      <c r="W57" s="194">
        <f>3867+3845+890</f>
        <v>8602</v>
      </c>
      <c r="X57" s="195">
        <v>2</v>
      </c>
      <c r="Y57" s="196">
        <f t="shared" si="51"/>
        <v>8604</v>
      </c>
      <c r="Z57" s="194">
        <f>3001+3114+748</f>
        <v>6863</v>
      </c>
      <c r="AA57" s="195">
        <v>13</v>
      </c>
      <c r="AB57" s="196">
        <f t="shared" si="52"/>
        <v>6876</v>
      </c>
      <c r="AC57" s="194">
        <v>8500</v>
      </c>
      <c r="AD57" s="195"/>
      <c r="AE57" s="196">
        <f t="shared" si="53"/>
        <v>8500</v>
      </c>
      <c r="AF57" s="212">
        <f t="shared" si="54"/>
        <v>23980</v>
      </c>
      <c r="AG57" s="194">
        <v>9600</v>
      </c>
      <c r="AH57" s="195"/>
      <c r="AI57" s="196">
        <f t="shared" si="55"/>
        <v>9600</v>
      </c>
      <c r="AJ57" s="194">
        <v>8500</v>
      </c>
      <c r="AK57" s="195"/>
      <c r="AL57" s="196">
        <f t="shared" si="56"/>
        <v>8500</v>
      </c>
      <c r="AM57" s="194">
        <v>13000</v>
      </c>
      <c r="AN57" s="195"/>
      <c r="AO57" s="196">
        <f t="shared" si="57"/>
        <v>13000</v>
      </c>
      <c r="AP57" s="212">
        <f t="shared" si="58"/>
        <v>31100</v>
      </c>
      <c r="AQ57" s="142">
        <f t="shared" si="59"/>
        <v>97457</v>
      </c>
      <c r="AR57" s="142">
        <f t="shared" si="59"/>
        <v>626</v>
      </c>
      <c r="AS57" s="142">
        <f t="shared" si="17"/>
        <v>98083</v>
      </c>
    </row>
    <row r="58" spans="1:45" ht="26.25">
      <c r="A58" s="11" t="s">
        <v>419</v>
      </c>
      <c r="B58" s="45" t="s">
        <v>420</v>
      </c>
      <c r="C58" s="206"/>
      <c r="D58" s="207">
        <v>4259</v>
      </c>
      <c r="E58" s="208">
        <f t="shared" si="43"/>
        <v>4259</v>
      </c>
      <c r="F58" s="206">
        <v>3</v>
      </c>
      <c r="G58" s="207">
        <v>13628</v>
      </c>
      <c r="H58" s="208">
        <f t="shared" si="44"/>
        <v>13631</v>
      </c>
      <c r="I58" s="206">
        <v>5178</v>
      </c>
      <c r="J58" s="207">
        <v>5866</v>
      </c>
      <c r="K58" s="208">
        <f t="shared" si="45"/>
        <v>11044</v>
      </c>
      <c r="L58" s="215">
        <f t="shared" si="46"/>
        <v>28934</v>
      </c>
      <c r="M58" s="206">
        <v>7234</v>
      </c>
      <c r="N58" s="207">
        <v>1916</v>
      </c>
      <c r="O58" s="208">
        <f t="shared" si="47"/>
        <v>9150</v>
      </c>
      <c r="P58" s="206">
        <v>13904</v>
      </c>
      <c r="Q58" s="207">
        <v>3327</v>
      </c>
      <c r="R58" s="208">
        <f t="shared" si="48"/>
        <v>17231</v>
      </c>
      <c r="S58" s="206">
        <v>9845</v>
      </c>
      <c r="T58" s="207">
        <v>467</v>
      </c>
      <c r="U58" s="208">
        <f t="shared" si="49"/>
        <v>10312</v>
      </c>
      <c r="V58" s="215">
        <f t="shared" si="50"/>
        <v>36693</v>
      </c>
      <c r="W58" s="194">
        <v>10663</v>
      </c>
      <c r="X58" s="195">
        <v>276</v>
      </c>
      <c r="Y58" s="208">
        <f t="shared" si="51"/>
        <v>10939</v>
      </c>
      <c r="Z58" s="206">
        <v>9036</v>
      </c>
      <c r="AA58" s="207">
        <v>155</v>
      </c>
      <c r="AB58" s="208">
        <f t="shared" si="52"/>
        <v>9191</v>
      </c>
      <c r="AC58" s="206">
        <v>10100</v>
      </c>
      <c r="AD58" s="207">
        <v>1300</v>
      </c>
      <c r="AE58" s="208">
        <f t="shared" si="53"/>
        <v>11400</v>
      </c>
      <c r="AF58" s="215">
        <f t="shared" si="54"/>
        <v>31530</v>
      </c>
      <c r="AG58" s="206">
        <v>10000</v>
      </c>
      <c r="AH58" s="207">
        <v>1300</v>
      </c>
      <c r="AI58" s="208">
        <f t="shared" si="55"/>
        <v>11300</v>
      </c>
      <c r="AJ58" s="206">
        <v>9000</v>
      </c>
      <c r="AK58" s="207">
        <v>1300</v>
      </c>
      <c r="AL58" s="208">
        <f t="shared" si="56"/>
        <v>10300</v>
      </c>
      <c r="AM58" s="206">
        <v>9000</v>
      </c>
      <c r="AN58" s="207">
        <v>1300</v>
      </c>
      <c r="AO58" s="208">
        <f t="shared" si="57"/>
        <v>10300</v>
      </c>
      <c r="AP58" s="215">
        <f t="shared" si="58"/>
        <v>31900</v>
      </c>
      <c r="AQ58" s="14">
        <f t="shared" si="59"/>
        <v>93963</v>
      </c>
      <c r="AR58" s="14">
        <f t="shared" si="59"/>
        <v>35094</v>
      </c>
      <c r="AS58" s="14">
        <f t="shared" si="17"/>
        <v>129057</v>
      </c>
    </row>
    <row r="59" spans="1:45" ht="26.25">
      <c r="A59" s="11" t="s">
        <v>421</v>
      </c>
      <c r="B59" s="45" t="s">
        <v>422</v>
      </c>
      <c r="C59" s="206"/>
      <c r="D59" s="207"/>
      <c r="E59" s="208">
        <f t="shared" si="43"/>
        <v>0</v>
      </c>
      <c r="F59" s="206"/>
      <c r="G59" s="207"/>
      <c r="H59" s="208">
        <f t="shared" si="44"/>
        <v>0</v>
      </c>
      <c r="I59" s="206"/>
      <c r="J59" s="207"/>
      <c r="K59" s="208">
        <f t="shared" si="45"/>
        <v>0</v>
      </c>
      <c r="L59" s="215">
        <f t="shared" si="46"/>
        <v>0</v>
      </c>
      <c r="M59" s="206"/>
      <c r="N59" s="207"/>
      <c r="O59" s="208">
        <f t="shared" si="47"/>
        <v>0</v>
      </c>
      <c r="P59" s="206"/>
      <c r="Q59" s="207"/>
      <c r="R59" s="208">
        <f t="shared" si="48"/>
        <v>0</v>
      </c>
      <c r="S59" s="206"/>
      <c r="T59" s="207"/>
      <c r="U59" s="208">
        <f t="shared" si="49"/>
        <v>0</v>
      </c>
      <c r="V59" s="215">
        <f t="shared" si="50"/>
        <v>0</v>
      </c>
      <c r="W59" s="206"/>
      <c r="X59" s="207"/>
      <c r="Y59" s="208">
        <f t="shared" si="51"/>
        <v>0</v>
      </c>
      <c r="Z59" s="206"/>
      <c r="AA59" s="207"/>
      <c r="AB59" s="208">
        <f t="shared" si="52"/>
        <v>0</v>
      </c>
      <c r="AC59" s="206"/>
      <c r="AD59" s="207"/>
      <c r="AE59" s="208">
        <f t="shared" si="53"/>
        <v>0</v>
      </c>
      <c r="AF59" s="215">
        <f t="shared" si="54"/>
        <v>0</v>
      </c>
      <c r="AG59" s="206"/>
      <c r="AH59" s="207"/>
      <c r="AI59" s="208">
        <f t="shared" si="55"/>
        <v>0</v>
      </c>
      <c r="AJ59" s="206"/>
      <c r="AK59" s="207"/>
      <c r="AL59" s="208">
        <f t="shared" si="56"/>
        <v>0</v>
      </c>
      <c r="AM59" s="206"/>
      <c r="AN59" s="207"/>
      <c r="AO59" s="208">
        <f t="shared" si="57"/>
        <v>0</v>
      </c>
      <c r="AP59" s="215">
        <f t="shared" si="58"/>
        <v>0</v>
      </c>
      <c r="AQ59" s="14">
        <f t="shared" si="59"/>
        <v>0</v>
      </c>
      <c r="AR59" s="14">
        <f t="shared" si="59"/>
        <v>0</v>
      </c>
      <c r="AS59" s="14">
        <f t="shared" si="17"/>
        <v>0</v>
      </c>
    </row>
    <row r="60" spans="1:45" ht="26.25">
      <c r="A60" s="11" t="s">
        <v>423</v>
      </c>
      <c r="B60" s="45" t="s">
        <v>424</v>
      </c>
      <c r="C60" s="206"/>
      <c r="D60" s="207"/>
      <c r="E60" s="208">
        <f>SUM(C60:D60)</f>
        <v>0</v>
      </c>
      <c r="F60" s="206"/>
      <c r="G60" s="207"/>
      <c r="H60" s="208">
        <f>SUM(F60:G60)</f>
        <v>0</v>
      </c>
      <c r="I60" s="206"/>
      <c r="J60" s="207"/>
      <c r="K60" s="208">
        <f>SUM(I60:J60)</f>
        <v>0</v>
      </c>
      <c r="L60" s="215">
        <f>SUM(E60,H60,K60)</f>
        <v>0</v>
      </c>
      <c r="M60" s="206"/>
      <c r="N60" s="207"/>
      <c r="O60" s="208">
        <f>SUM(M60:N60)</f>
        <v>0</v>
      </c>
      <c r="P60" s="206"/>
      <c r="Q60" s="207"/>
      <c r="R60" s="208">
        <f>SUM(P60:Q60)</f>
        <v>0</v>
      </c>
      <c r="S60" s="206"/>
      <c r="T60" s="207"/>
      <c r="U60" s="208">
        <f>SUM(S60:T60)</f>
        <v>0</v>
      </c>
      <c r="V60" s="215">
        <f>SUM(O60,R60,U60)</f>
        <v>0</v>
      </c>
      <c r="W60" s="206"/>
      <c r="X60" s="207"/>
      <c r="Y60" s="208">
        <f>SUM(W60:X60)</f>
        <v>0</v>
      </c>
      <c r="Z60" s="206"/>
      <c r="AA60" s="207"/>
      <c r="AB60" s="208">
        <f>SUM(Z60:AA60)</f>
        <v>0</v>
      </c>
      <c r="AC60" s="206"/>
      <c r="AD60" s="207"/>
      <c r="AE60" s="208">
        <f>SUM(AC60:AD60)</f>
        <v>0</v>
      </c>
      <c r="AF60" s="215">
        <f>SUM(Y60,AB60,AE60)</f>
        <v>0</v>
      </c>
      <c r="AG60" s="206"/>
      <c r="AH60" s="207"/>
      <c r="AI60" s="208">
        <f>SUM(AG60:AH60)</f>
        <v>0</v>
      </c>
      <c r="AJ60" s="206"/>
      <c r="AK60" s="207"/>
      <c r="AL60" s="208">
        <f>SUM(AJ60:AK60)</f>
        <v>0</v>
      </c>
      <c r="AM60" s="206"/>
      <c r="AN60" s="207"/>
      <c r="AO60" s="208">
        <f>SUM(AM60:AN60)</f>
        <v>0</v>
      </c>
      <c r="AP60" s="215">
        <f>SUM(AI60,AL60,AO60)</f>
        <v>0</v>
      </c>
      <c r="AQ60" s="14">
        <f>C60+F60+I60+M60+P60+S60+W60+Z60+AC60+AG60+AJ60+AM60</f>
        <v>0</v>
      </c>
      <c r="AR60" s="14">
        <f>D60+G60+J60+N60+Q60+T60+X60+AA60+AD60+AH60+AK60+AN60</f>
        <v>0</v>
      </c>
      <c r="AS60" s="14">
        <f>SUM(AQ60:AR60)</f>
        <v>0</v>
      </c>
    </row>
    <row r="61" spans="1:45" ht="52.5">
      <c r="A61" s="11" t="s">
        <v>425</v>
      </c>
      <c r="B61" s="217" t="s">
        <v>426</v>
      </c>
      <c r="C61" s="200"/>
      <c r="D61" s="200"/>
      <c r="E61" s="202">
        <f t="shared" si="43"/>
        <v>0</v>
      </c>
      <c r="F61" s="200"/>
      <c r="G61" s="201"/>
      <c r="H61" s="202">
        <f t="shared" si="44"/>
        <v>0</v>
      </c>
      <c r="I61" s="200"/>
      <c r="J61" s="201"/>
      <c r="K61" s="202">
        <f t="shared" si="45"/>
        <v>0</v>
      </c>
      <c r="L61" s="216">
        <f t="shared" si="46"/>
        <v>0</v>
      </c>
      <c r="M61" s="200"/>
      <c r="N61" s="201"/>
      <c r="O61" s="202">
        <f t="shared" si="47"/>
        <v>0</v>
      </c>
      <c r="P61" s="200"/>
      <c r="Q61" s="201"/>
      <c r="R61" s="202">
        <f t="shared" si="48"/>
        <v>0</v>
      </c>
      <c r="S61" s="200"/>
      <c r="T61" s="201"/>
      <c r="U61" s="202">
        <f t="shared" si="49"/>
        <v>0</v>
      </c>
      <c r="V61" s="216">
        <f t="shared" si="50"/>
        <v>0</v>
      </c>
      <c r="W61" s="200"/>
      <c r="X61" s="201"/>
      <c r="Y61" s="202">
        <f t="shared" si="51"/>
        <v>0</v>
      </c>
      <c r="Z61" s="200"/>
      <c r="AA61" s="201"/>
      <c r="AB61" s="202">
        <f t="shared" si="52"/>
        <v>0</v>
      </c>
      <c r="AC61" s="200"/>
      <c r="AD61" s="201"/>
      <c r="AE61" s="202">
        <f t="shared" si="53"/>
        <v>0</v>
      </c>
      <c r="AF61" s="216">
        <f t="shared" si="54"/>
        <v>0</v>
      </c>
      <c r="AG61" s="200"/>
      <c r="AH61" s="201"/>
      <c r="AI61" s="202">
        <f t="shared" si="55"/>
        <v>0</v>
      </c>
      <c r="AJ61" s="200"/>
      <c r="AK61" s="201"/>
      <c r="AL61" s="202">
        <f t="shared" si="56"/>
        <v>0</v>
      </c>
      <c r="AM61" s="200"/>
      <c r="AN61" s="201"/>
      <c r="AO61" s="202">
        <f t="shared" si="57"/>
        <v>0</v>
      </c>
      <c r="AP61" s="216">
        <f t="shared" si="58"/>
        <v>0</v>
      </c>
      <c r="AQ61" s="165">
        <f t="shared" si="59"/>
        <v>0</v>
      </c>
      <c r="AR61" s="165">
        <f t="shared" si="59"/>
        <v>0</v>
      </c>
      <c r="AS61" s="165">
        <f t="shared" si="17"/>
        <v>0</v>
      </c>
    </row>
    <row r="62" spans="1:45" ht="26.25">
      <c r="A62" s="11" t="s">
        <v>427</v>
      </c>
      <c r="B62" s="151" t="s">
        <v>428</v>
      </c>
      <c r="C62" s="191">
        <v>16</v>
      </c>
      <c r="D62" s="192">
        <v>180</v>
      </c>
      <c r="E62" s="193">
        <f t="shared" si="43"/>
        <v>196</v>
      </c>
      <c r="F62" s="191">
        <v>1197</v>
      </c>
      <c r="G62" s="192">
        <v>3964</v>
      </c>
      <c r="H62" s="193">
        <f t="shared" si="44"/>
        <v>5161</v>
      </c>
      <c r="I62" s="191">
        <v>564</v>
      </c>
      <c r="J62" s="192">
        <v>404</v>
      </c>
      <c r="K62" s="193">
        <f t="shared" si="45"/>
        <v>968</v>
      </c>
      <c r="L62" s="211">
        <f t="shared" si="46"/>
        <v>6325</v>
      </c>
      <c r="M62" s="191">
        <v>1429</v>
      </c>
      <c r="N62" s="192">
        <v>268</v>
      </c>
      <c r="O62" s="193">
        <f t="shared" si="47"/>
        <v>1697</v>
      </c>
      <c r="P62" s="191">
        <v>1122</v>
      </c>
      <c r="Q62" s="192">
        <v>450</v>
      </c>
      <c r="R62" s="193">
        <f t="shared" si="48"/>
        <v>1572</v>
      </c>
      <c r="S62" s="191">
        <v>2080</v>
      </c>
      <c r="T62" s="192">
        <v>109</v>
      </c>
      <c r="U62" s="193">
        <f t="shared" si="49"/>
        <v>2189</v>
      </c>
      <c r="V62" s="211">
        <f t="shared" si="50"/>
        <v>5458</v>
      </c>
      <c r="W62" s="191">
        <f>2323+1488</f>
        <v>3811</v>
      </c>
      <c r="X62" s="192">
        <f>16+1</f>
        <v>17</v>
      </c>
      <c r="Y62" s="193">
        <f t="shared" si="51"/>
        <v>3828</v>
      </c>
      <c r="Z62" s="191">
        <f>826+172</f>
        <v>998</v>
      </c>
      <c r="AA62" s="192"/>
      <c r="AB62" s="193">
        <f t="shared" si="52"/>
        <v>998</v>
      </c>
      <c r="AC62" s="191">
        <v>3800</v>
      </c>
      <c r="AD62" s="192">
        <v>1000</v>
      </c>
      <c r="AE62" s="193">
        <f t="shared" si="53"/>
        <v>4800</v>
      </c>
      <c r="AF62" s="211">
        <f t="shared" si="54"/>
        <v>9626</v>
      </c>
      <c r="AG62" s="191">
        <v>3800</v>
      </c>
      <c r="AH62" s="192">
        <v>1000</v>
      </c>
      <c r="AI62" s="193">
        <f t="shared" si="55"/>
        <v>4800</v>
      </c>
      <c r="AJ62" s="191">
        <v>3800</v>
      </c>
      <c r="AK62" s="192">
        <v>1000</v>
      </c>
      <c r="AL62" s="193">
        <f t="shared" si="56"/>
        <v>4800</v>
      </c>
      <c r="AM62" s="191">
        <v>3618</v>
      </c>
      <c r="AN62" s="192">
        <v>400</v>
      </c>
      <c r="AO62" s="193">
        <f t="shared" si="57"/>
        <v>4018</v>
      </c>
      <c r="AP62" s="211">
        <f t="shared" si="58"/>
        <v>13618</v>
      </c>
      <c r="AQ62" s="144">
        <f t="shared" si="59"/>
        <v>26235</v>
      </c>
      <c r="AR62" s="144">
        <f t="shared" si="59"/>
        <v>8792</v>
      </c>
      <c r="AS62" s="144">
        <f t="shared" si="17"/>
        <v>35027</v>
      </c>
    </row>
    <row r="63" spans="1:45" ht="26.25">
      <c r="A63" s="11" t="s">
        <v>429</v>
      </c>
      <c r="B63" s="151" t="s">
        <v>430</v>
      </c>
      <c r="C63" s="191"/>
      <c r="D63" s="192"/>
      <c r="E63" s="193">
        <f t="shared" si="43"/>
        <v>0</v>
      </c>
      <c r="F63" s="191"/>
      <c r="G63" s="192">
        <v>511</v>
      </c>
      <c r="H63" s="193">
        <f t="shared" si="44"/>
        <v>511</v>
      </c>
      <c r="I63" s="191">
        <v>205</v>
      </c>
      <c r="J63" s="192">
        <v>2326</v>
      </c>
      <c r="K63" s="193">
        <f t="shared" si="45"/>
        <v>2531</v>
      </c>
      <c r="L63" s="211">
        <f t="shared" si="46"/>
        <v>3042</v>
      </c>
      <c r="M63" s="191">
        <v>459</v>
      </c>
      <c r="N63" s="192">
        <v>1131</v>
      </c>
      <c r="O63" s="193">
        <f t="shared" si="47"/>
        <v>1590</v>
      </c>
      <c r="P63" s="191">
        <v>1833</v>
      </c>
      <c r="Q63" s="192">
        <v>247</v>
      </c>
      <c r="R63" s="193">
        <f t="shared" si="48"/>
        <v>2080</v>
      </c>
      <c r="S63" s="191">
        <v>1972</v>
      </c>
      <c r="T63" s="192">
        <v>496</v>
      </c>
      <c r="U63" s="193">
        <f t="shared" si="49"/>
        <v>2468</v>
      </c>
      <c r="V63" s="211">
        <f t="shared" si="50"/>
        <v>6138</v>
      </c>
      <c r="W63" s="191">
        <f>998+720</f>
        <v>1718</v>
      </c>
      <c r="X63" s="192">
        <f>45+40</f>
        <v>85</v>
      </c>
      <c r="Y63" s="193">
        <f t="shared" si="51"/>
        <v>1803</v>
      </c>
      <c r="Z63" s="191">
        <f>698+886</f>
        <v>1584</v>
      </c>
      <c r="AA63" s="192">
        <v>53</v>
      </c>
      <c r="AB63" s="193">
        <f t="shared" si="52"/>
        <v>1637</v>
      </c>
      <c r="AC63" s="191">
        <v>2050</v>
      </c>
      <c r="AD63" s="191">
        <v>40</v>
      </c>
      <c r="AE63" s="193">
        <f t="shared" si="53"/>
        <v>2090</v>
      </c>
      <c r="AF63" s="211">
        <f t="shared" si="54"/>
        <v>5530</v>
      </c>
      <c r="AG63" s="191">
        <v>2050</v>
      </c>
      <c r="AH63" s="192">
        <v>450</v>
      </c>
      <c r="AI63" s="193">
        <f t="shared" si="55"/>
        <v>2500</v>
      </c>
      <c r="AJ63" s="191">
        <v>2050</v>
      </c>
      <c r="AK63" s="192">
        <v>450</v>
      </c>
      <c r="AL63" s="193">
        <f t="shared" si="56"/>
        <v>2500</v>
      </c>
      <c r="AM63" s="191">
        <v>2000</v>
      </c>
      <c r="AN63" s="192">
        <v>450</v>
      </c>
      <c r="AO63" s="193">
        <f t="shared" si="57"/>
        <v>2450</v>
      </c>
      <c r="AP63" s="211">
        <f t="shared" si="58"/>
        <v>7450</v>
      </c>
      <c r="AQ63" s="144">
        <f t="shared" si="59"/>
        <v>15921</v>
      </c>
      <c r="AR63" s="144">
        <f t="shared" si="59"/>
        <v>6239</v>
      </c>
      <c r="AS63" s="144">
        <f t="shared" si="17"/>
        <v>22160</v>
      </c>
    </row>
    <row r="64" spans="1:45" ht="26.25">
      <c r="A64" s="11" t="s">
        <v>431</v>
      </c>
      <c r="B64" s="151" t="s">
        <v>432</v>
      </c>
      <c r="C64" s="191"/>
      <c r="D64" s="192"/>
      <c r="E64" s="193">
        <f t="shared" si="43"/>
        <v>0</v>
      </c>
      <c r="F64" s="191"/>
      <c r="G64" s="192"/>
      <c r="H64" s="193">
        <f t="shared" si="44"/>
        <v>0</v>
      </c>
      <c r="I64" s="191"/>
      <c r="J64" s="192"/>
      <c r="K64" s="193">
        <f t="shared" si="45"/>
        <v>0</v>
      </c>
      <c r="L64" s="211">
        <f t="shared" si="46"/>
        <v>0</v>
      </c>
      <c r="M64" s="191"/>
      <c r="N64" s="192"/>
      <c r="O64" s="193">
        <f t="shared" si="47"/>
        <v>0</v>
      </c>
      <c r="P64" s="191"/>
      <c r="Q64" s="192"/>
      <c r="R64" s="193">
        <f t="shared" si="48"/>
        <v>0</v>
      </c>
      <c r="S64" s="191"/>
      <c r="T64" s="192"/>
      <c r="U64" s="193">
        <f t="shared" si="49"/>
        <v>0</v>
      </c>
      <c r="V64" s="211">
        <f t="shared" si="50"/>
        <v>0</v>
      </c>
      <c r="W64" s="191"/>
      <c r="X64" s="192"/>
      <c r="Y64" s="193">
        <f t="shared" si="51"/>
        <v>0</v>
      </c>
      <c r="Z64" s="191"/>
      <c r="AA64" s="192"/>
      <c r="AB64" s="193">
        <f t="shared" si="52"/>
        <v>0</v>
      </c>
      <c r="AC64" s="191"/>
      <c r="AD64" s="192"/>
      <c r="AE64" s="193">
        <f t="shared" si="53"/>
        <v>0</v>
      </c>
      <c r="AF64" s="211">
        <f t="shared" si="54"/>
        <v>0</v>
      </c>
      <c r="AG64" s="191"/>
      <c r="AH64" s="192"/>
      <c r="AI64" s="193">
        <f t="shared" si="55"/>
        <v>0</v>
      </c>
      <c r="AJ64" s="191"/>
      <c r="AK64" s="192"/>
      <c r="AL64" s="193">
        <f t="shared" si="56"/>
        <v>0</v>
      </c>
      <c r="AM64" s="191"/>
      <c r="AN64" s="192"/>
      <c r="AO64" s="193">
        <f t="shared" si="57"/>
        <v>0</v>
      </c>
      <c r="AP64" s="211">
        <f t="shared" si="58"/>
        <v>0</v>
      </c>
      <c r="AQ64" s="144">
        <f t="shared" si="59"/>
        <v>0</v>
      </c>
      <c r="AR64" s="144">
        <f t="shared" si="59"/>
        <v>0</v>
      </c>
      <c r="AS64" s="144">
        <f t="shared" si="17"/>
        <v>0</v>
      </c>
    </row>
    <row r="65" spans="1:45" ht="26.25">
      <c r="A65" s="11" t="s">
        <v>433</v>
      </c>
      <c r="B65" s="166" t="s">
        <v>434</v>
      </c>
      <c r="C65" s="191"/>
      <c r="D65" s="192"/>
      <c r="E65" s="193">
        <f t="shared" si="43"/>
        <v>0</v>
      </c>
      <c r="F65" s="191">
        <v>13</v>
      </c>
      <c r="G65" s="192">
        <v>303</v>
      </c>
      <c r="H65" s="193">
        <f t="shared" si="44"/>
        <v>316</v>
      </c>
      <c r="I65" s="191">
        <v>43</v>
      </c>
      <c r="J65" s="192">
        <v>560</v>
      </c>
      <c r="K65" s="193">
        <f t="shared" si="45"/>
        <v>603</v>
      </c>
      <c r="L65" s="211">
        <f t="shared" si="46"/>
        <v>919</v>
      </c>
      <c r="M65" s="191">
        <v>44</v>
      </c>
      <c r="N65" s="192">
        <v>252</v>
      </c>
      <c r="O65" s="193">
        <f t="shared" si="47"/>
        <v>296</v>
      </c>
      <c r="P65" s="191">
        <v>194</v>
      </c>
      <c r="Q65" s="192">
        <v>352</v>
      </c>
      <c r="R65" s="193">
        <f t="shared" si="48"/>
        <v>546</v>
      </c>
      <c r="S65" s="191">
        <v>35</v>
      </c>
      <c r="T65" s="192">
        <v>185</v>
      </c>
      <c r="U65" s="193">
        <f t="shared" si="49"/>
        <v>220</v>
      </c>
      <c r="V65" s="211">
        <f t="shared" si="50"/>
        <v>1062</v>
      </c>
      <c r="W65" s="191">
        <f>208+20</f>
        <v>228</v>
      </c>
      <c r="X65" s="192">
        <v>79</v>
      </c>
      <c r="Y65" s="193">
        <f t="shared" si="51"/>
        <v>307</v>
      </c>
      <c r="Z65" s="191">
        <f>37+3</f>
        <v>40</v>
      </c>
      <c r="AA65" s="192">
        <v>74</v>
      </c>
      <c r="AB65" s="193">
        <f t="shared" si="52"/>
        <v>114</v>
      </c>
      <c r="AC65" s="191">
        <v>100</v>
      </c>
      <c r="AD65" s="192"/>
      <c r="AE65" s="193">
        <f t="shared" si="53"/>
        <v>100</v>
      </c>
      <c r="AF65" s="211">
        <f t="shared" si="54"/>
        <v>521</v>
      </c>
      <c r="AG65" s="191">
        <v>100</v>
      </c>
      <c r="AH65" s="192"/>
      <c r="AI65" s="193">
        <f t="shared" si="55"/>
        <v>100</v>
      </c>
      <c r="AJ65" s="191">
        <v>100</v>
      </c>
      <c r="AK65" s="192"/>
      <c r="AL65" s="193">
        <f t="shared" si="56"/>
        <v>100</v>
      </c>
      <c r="AM65" s="191">
        <v>100</v>
      </c>
      <c r="AN65" s="192"/>
      <c r="AO65" s="193">
        <f t="shared" si="57"/>
        <v>100</v>
      </c>
      <c r="AP65" s="211">
        <f t="shared" si="58"/>
        <v>300</v>
      </c>
      <c r="AQ65" s="144">
        <f t="shared" si="59"/>
        <v>997</v>
      </c>
      <c r="AR65" s="144">
        <f t="shared" si="59"/>
        <v>1805</v>
      </c>
      <c r="AS65" s="144">
        <f t="shared" si="17"/>
        <v>2802</v>
      </c>
    </row>
    <row r="66" spans="1:45" ht="26.25">
      <c r="A66" s="11" t="s">
        <v>435</v>
      </c>
      <c r="B66" s="151" t="s">
        <v>436</v>
      </c>
      <c r="C66" s="191"/>
      <c r="D66" s="192"/>
      <c r="E66" s="193">
        <f t="shared" si="43"/>
        <v>0</v>
      </c>
      <c r="F66" s="191"/>
      <c r="G66" s="192">
        <v>9</v>
      </c>
      <c r="H66" s="193">
        <f t="shared" si="44"/>
        <v>9</v>
      </c>
      <c r="I66" s="191"/>
      <c r="J66" s="192">
        <v>1</v>
      </c>
      <c r="K66" s="193">
        <f t="shared" si="45"/>
        <v>1</v>
      </c>
      <c r="L66" s="211">
        <f t="shared" si="46"/>
        <v>10</v>
      </c>
      <c r="M66" s="191"/>
      <c r="N66" s="192"/>
      <c r="O66" s="193">
        <f t="shared" si="47"/>
        <v>0</v>
      </c>
      <c r="P66" s="191"/>
      <c r="Q66" s="192"/>
      <c r="R66" s="193">
        <f t="shared" si="48"/>
        <v>0</v>
      </c>
      <c r="S66" s="191"/>
      <c r="T66" s="192">
        <v>5</v>
      </c>
      <c r="U66" s="193">
        <f t="shared" si="49"/>
        <v>5</v>
      </c>
      <c r="V66" s="211">
        <f t="shared" si="50"/>
        <v>5</v>
      </c>
      <c r="W66" s="191">
        <v>1</v>
      </c>
      <c r="X66" s="192">
        <v>3</v>
      </c>
      <c r="Y66" s="193">
        <f t="shared" si="51"/>
        <v>4</v>
      </c>
      <c r="Z66" s="191"/>
      <c r="AA66" s="192"/>
      <c r="AB66" s="193">
        <f t="shared" si="52"/>
        <v>0</v>
      </c>
      <c r="AC66" s="191"/>
      <c r="AD66" s="192"/>
      <c r="AE66" s="193">
        <f t="shared" si="53"/>
        <v>0</v>
      </c>
      <c r="AF66" s="211">
        <f t="shared" si="54"/>
        <v>4</v>
      </c>
      <c r="AG66" s="191"/>
      <c r="AH66" s="192"/>
      <c r="AI66" s="193">
        <f t="shared" si="55"/>
        <v>0</v>
      </c>
      <c r="AJ66" s="191"/>
      <c r="AK66" s="192"/>
      <c r="AL66" s="193">
        <f t="shared" si="56"/>
        <v>0</v>
      </c>
      <c r="AM66" s="191"/>
      <c r="AN66" s="192"/>
      <c r="AO66" s="193">
        <f t="shared" si="57"/>
        <v>0</v>
      </c>
      <c r="AP66" s="211">
        <f t="shared" si="58"/>
        <v>0</v>
      </c>
      <c r="AQ66" s="144">
        <f t="shared" si="59"/>
        <v>1</v>
      </c>
      <c r="AR66" s="144">
        <f t="shared" si="59"/>
        <v>18</v>
      </c>
      <c r="AS66" s="144">
        <f t="shared" si="17"/>
        <v>19</v>
      </c>
    </row>
    <row r="67" spans="1:45" ht="26.25">
      <c r="A67" s="11" t="s">
        <v>437</v>
      </c>
      <c r="B67" s="151" t="s">
        <v>438</v>
      </c>
      <c r="C67" s="191"/>
      <c r="D67" s="192"/>
      <c r="E67" s="193">
        <f t="shared" si="43"/>
        <v>0</v>
      </c>
      <c r="F67" s="191">
        <v>14</v>
      </c>
      <c r="G67" s="192">
        <v>288</v>
      </c>
      <c r="H67" s="193">
        <f t="shared" si="44"/>
        <v>302</v>
      </c>
      <c r="I67" s="191">
        <v>152</v>
      </c>
      <c r="J67" s="192">
        <v>46</v>
      </c>
      <c r="K67" s="193">
        <f t="shared" si="45"/>
        <v>198</v>
      </c>
      <c r="L67" s="211">
        <f t="shared" si="46"/>
        <v>500</v>
      </c>
      <c r="M67" s="191">
        <v>47</v>
      </c>
      <c r="N67" s="192">
        <v>2</v>
      </c>
      <c r="O67" s="193">
        <f t="shared" si="47"/>
        <v>49</v>
      </c>
      <c r="P67" s="191">
        <v>388</v>
      </c>
      <c r="Q67" s="192">
        <v>98</v>
      </c>
      <c r="R67" s="193">
        <f t="shared" si="48"/>
        <v>486</v>
      </c>
      <c r="S67" s="191">
        <v>284</v>
      </c>
      <c r="T67" s="192">
        <v>25</v>
      </c>
      <c r="U67" s="193">
        <f t="shared" si="49"/>
        <v>309</v>
      </c>
      <c r="V67" s="211">
        <f t="shared" si="50"/>
        <v>844</v>
      </c>
      <c r="W67" s="191">
        <f>25+181</f>
        <v>206</v>
      </c>
      <c r="X67" s="192">
        <v>23</v>
      </c>
      <c r="Y67" s="193">
        <f t="shared" si="51"/>
        <v>229</v>
      </c>
      <c r="Z67" s="191">
        <f>12+321</f>
        <v>333</v>
      </c>
      <c r="AA67" s="192">
        <v>20</v>
      </c>
      <c r="AB67" s="193">
        <f t="shared" si="52"/>
        <v>353</v>
      </c>
      <c r="AC67" s="191">
        <v>300</v>
      </c>
      <c r="AD67" s="192"/>
      <c r="AE67" s="193">
        <f t="shared" si="53"/>
        <v>300</v>
      </c>
      <c r="AF67" s="211">
        <f t="shared" si="54"/>
        <v>882</v>
      </c>
      <c r="AG67" s="191">
        <v>300</v>
      </c>
      <c r="AH67" s="192"/>
      <c r="AI67" s="193">
        <f t="shared" si="55"/>
        <v>300</v>
      </c>
      <c r="AJ67" s="191">
        <v>300</v>
      </c>
      <c r="AK67" s="192"/>
      <c r="AL67" s="193">
        <f t="shared" si="56"/>
        <v>300</v>
      </c>
      <c r="AM67" s="191">
        <v>300</v>
      </c>
      <c r="AN67" s="192"/>
      <c r="AO67" s="193">
        <f t="shared" si="57"/>
        <v>300</v>
      </c>
      <c r="AP67" s="211">
        <f t="shared" si="58"/>
        <v>900</v>
      </c>
      <c r="AQ67" s="144">
        <f t="shared" si="59"/>
        <v>2624</v>
      </c>
      <c r="AR67" s="144">
        <f t="shared" si="59"/>
        <v>502</v>
      </c>
      <c r="AS67" s="144">
        <f t="shared" si="17"/>
        <v>3126</v>
      </c>
    </row>
    <row r="68" spans="1:45" ht="26.25">
      <c r="A68" s="11" t="s">
        <v>439</v>
      </c>
      <c r="B68" s="151" t="s">
        <v>440</v>
      </c>
      <c r="C68" s="191"/>
      <c r="D68" s="192"/>
      <c r="E68" s="193">
        <f t="shared" si="43"/>
        <v>0</v>
      </c>
      <c r="F68" s="191"/>
      <c r="G68" s="192"/>
      <c r="H68" s="193">
        <f t="shared" si="44"/>
        <v>0</v>
      </c>
      <c r="I68" s="191"/>
      <c r="J68" s="192"/>
      <c r="K68" s="193">
        <f t="shared" si="45"/>
        <v>0</v>
      </c>
      <c r="L68" s="211">
        <f t="shared" si="46"/>
        <v>0</v>
      </c>
      <c r="M68" s="191"/>
      <c r="N68" s="192"/>
      <c r="O68" s="193">
        <f t="shared" si="47"/>
        <v>0</v>
      </c>
      <c r="P68" s="191"/>
      <c r="Q68" s="192"/>
      <c r="R68" s="193">
        <f t="shared" si="48"/>
        <v>0</v>
      </c>
      <c r="S68" s="191"/>
      <c r="T68" s="192"/>
      <c r="U68" s="193">
        <f t="shared" si="49"/>
        <v>0</v>
      </c>
      <c r="V68" s="211">
        <f t="shared" si="50"/>
        <v>0</v>
      </c>
      <c r="W68" s="191"/>
      <c r="X68" s="192"/>
      <c r="Y68" s="193">
        <f t="shared" si="51"/>
        <v>0</v>
      </c>
      <c r="Z68" s="191"/>
      <c r="AA68" s="192"/>
      <c r="AB68" s="193">
        <f t="shared" si="52"/>
        <v>0</v>
      </c>
      <c r="AC68" s="191"/>
      <c r="AD68" s="192"/>
      <c r="AE68" s="193">
        <f t="shared" si="53"/>
        <v>0</v>
      </c>
      <c r="AF68" s="211">
        <f t="shared" si="54"/>
        <v>0</v>
      </c>
      <c r="AG68" s="191"/>
      <c r="AH68" s="192"/>
      <c r="AI68" s="193">
        <f t="shared" si="55"/>
        <v>0</v>
      </c>
      <c r="AJ68" s="191"/>
      <c r="AK68" s="192"/>
      <c r="AL68" s="193">
        <f t="shared" si="56"/>
        <v>0</v>
      </c>
      <c r="AM68" s="191"/>
      <c r="AN68" s="192"/>
      <c r="AO68" s="193">
        <f t="shared" si="57"/>
        <v>0</v>
      </c>
      <c r="AP68" s="211">
        <f t="shared" si="58"/>
        <v>0</v>
      </c>
      <c r="AQ68" s="144">
        <f t="shared" si="59"/>
        <v>0</v>
      </c>
      <c r="AR68" s="144">
        <f t="shared" si="59"/>
        <v>0</v>
      </c>
      <c r="AS68" s="144">
        <f t="shared" si="17"/>
        <v>0</v>
      </c>
    </row>
    <row r="69" spans="1:45" ht="26.25">
      <c r="A69" s="11" t="s">
        <v>441</v>
      </c>
      <c r="B69" s="151" t="s">
        <v>442</v>
      </c>
      <c r="C69" s="191"/>
      <c r="D69" s="192"/>
      <c r="E69" s="193">
        <f t="shared" si="43"/>
        <v>0</v>
      </c>
      <c r="F69" s="191"/>
      <c r="G69" s="192"/>
      <c r="H69" s="193">
        <f t="shared" si="44"/>
        <v>0</v>
      </c>
      <c r="I69" s="191"/>
      <c r="J69" s="192"/>
      <c r="K69" s="193">
        <f t="shared" si="45"/>
        <v>0</v>
      </c>
      <c r="L69" s="211">
        <f t="shared" si="46"/>
        <v>0</v>
      </c>
      <c r="M69" s="191"/>
      <c r="N69" s="192"/>
      <c r="O69" s="193">
        <f t="shared" si="47"/>
        <v>0</v>
      </c>
      <c r="P69" s="191"/>
      <c r="Q69" s="192"/>
      <c r="R69" s="193">
        <f t="shared" si="48"/>
        <v>0</v>
      </c>
      <c r="S69" s="191"/>
      <c r="T69" s="192"/>
      <c r="U69" s="193">
        <f t="shared" si="49"/>
        <v>0</v>
      </c>
      <c r="V69" s="211">
        <f t="shared" si="50"/>
        <v>0</v>
      </c>
      <c r="W69" s="191"/>
      <c r="X69" s="192"/>
      <c r="Y69" s="193">
        <f t="shared" si="51"/>
        <v>0</v>
      </c>
      <c r="Z69" s="191"/>
      <c r="AA69" s="192"/>
      <c r="AB69" s="193">
        <f t="shared" si="52"/>
        <v>0</v>
      </c>
      <c r="AC69" s="191"/>
      <c r="AD69" s="192"/>
      <c r="AE69" s="193">
        <f t="shared" si="53"/>
        <v>0</v>
      </c>
      <c r="AF69" s="211">
        <f t="shared" si="54"/>
        <v>0</v>
      </c>
      <c r="AG69" s="191"/>
      <c r="AH69" s="192"/>
      <c r="AI69" s="193">
        <f t="shared" si="55"/>
        <v>0</v>
      </c>
      <c r="AJ69" s="191"/>
      <c r="AK69" s="192"/>
      <c r="AL69" s="193">
        <f t="shared" si="56"/>
        <v>0</v>
      </c>
      <c r="AM69" s="191"/>
      <c r="AN69" s="192"/>
      <c r="AO69" s="193">
        <f t="shared" si="57"/>
        <v>0</v>
      </c>
      <c r="AP69" s="211">
        <f t="shared" si="58"/>
        <v>0</v>
      </c>
      <c r="AQ69" s="144">
        <f t="shared" si="59"/>
        <v>0</v>
      </c>
      <c r="AR69" s="144">
        <f t="shared" si="59"/>
        <v>0</v>
      </c>
      <c r="AS69" s="144">
        <f t="shared" si="17"/>
        <v>0</v>
      </c>
    </row>
    <row r="70" spans="1:45" ht="26.25">
      <c r="A70" s="11" t="s">
        <v>443</v>
      </c>
      <c r="B70" s="156" t="s">
        <v>444</v>
      </c>
      <c r="C70" s="194"/>
      <c r="D70" s="194"/>
      <c r="E70" s="196">
        <f t="shared" si="43"/>
        <v>0</v>
      </c>
      <c r="F70" s="194"/>
      <c r="G70" s="195"/>
      <c r="H70" s="196">
        <f t="shared" si="44"/>
        <v>0</v>
      </c>
      <c r="I70" s="194"/>
      <c r="J70" s="195"/>
      <c r="K70" s="196">
        <f t="shared" si="45"/>
        <v>0</v>
      </c>
      <c r="L70" s="213">
        <f t="shared" si="46"/>
        <v>0</v>
      </c>
      <c r="M70" s="194"/>
      <c r="N70" s="195"/>
      <c r="O70" s="196">
        <f t="shared" si="47"/>
        <v>0</v>
      </c>
      <c r="P70" s="194"/>
      <c r="Q70" s="195"/>
      <c r="R70" s="196">
        <f t="shared" si="48"/>
        <v>0</v>
      </c>
      <c r="S70" s="194"/>
      <c r="T70" s="195"/>
      <c r="U70" s="196">
        <f t="shared" si="49"/>
        <v>0</v>
      </c>
      <c r="V70" s="213">
        <f t="shared" si="50"/>
        <v>0</v>
      </c>
      <c r="W70" s="194"/>
      <c r="X70" s="195"/>
      <c r="Y70" s="196">
        <f t="shared" si="51"/>
        <v>0</v>
      </c>
      <c r="Z70" s="194"/>
      <c r="AA70" s="195"/>
      <c r="AB70" s="196">
        <f t="shared" si="52"/>
        <v>0</v>
      </c>
      <c r="AC70" s="194"/>
      <c r="AD70" s="195"/>
      <c r="AE70" s="196">
        <f t="shared" si="53"/>
        <v>0</v>
      </c>
      <c r="AF70" s="213">
        <f t="shared" si="54"/>
        <v>0</v>
      </c>
      <c r="AG70" s="194"/>
      <c r="AH70" s="195"/>
      <c r="AI70" s="196">
        <f t="shared" si="55"/>
        <v>0</v>
      </c>
      <c r="AJ70" s="194"/>
      <c r="AK70" s="195"/>
      <c r="AL70" s="196">
        <f t="shared" si="56"/>
        <v>0</v>
      </c>
      <c r="AM70" s="194"/>
      <c r="AN70" s="195"/>
      <c r="AO70" s="196">
        <f t="shared" si="57"/>
        <v>0</v>
      </c>
      <c r="AP70" s="213">
        <f t="shared" si="58"/>
        <v>0</v>
      </c>
      <c r="AQ70" s="157">
        <f t="shared" si="59"/>
        <v>0</v>
      </c>
      <c r="AR70" s="157">
        <f t="shared" si="59"/>
        <v>0</v>
      </c>
      <c r="AS70" s="157">
        <f t="shared" si="17"/>
        <v>0</v>
      </c>
    </row>
    <row r="71" spans="2:45" ht="26.25">
      <c r="B71" s="169" t="s">
        <v>445</v>
      </c>
      <c r="C71" s="169"/>
      <c r="D71" s="170"/>
      <c r="E71" s="170"/>
      <c r="F71" s="169"/>
      <c r="G71" s="170"/>
      <c r="H71" s="170"/>
      <c r="I71" s="169"/>
      <c r="J71" s="170"/>
      <c r="K71" s="170"/>
      <c r="L71" s="170"/>
      <c r="M71" s="169"/>
      <c r="N71" s="170"/>
      <c r="O71" s="170"/>
      <c r="P71" s="169"/>
      <c r="Q71" s="170"/>
      <c r="R71" s="170"/>
      <c r="S71" s="169"/>
      <c r="T71" s="170"/>
      <c r="U71" s="170"/>
      <c r="V71" s="170"/>
      <c r="W71" s="169"/>
      <c r="X71" s="170"/>
      <c r="Y71" s="170"/>
      <c r="Z71" s="169"/>
      <c r="AA71" s="170"/>
      <c r="AB71" s="170"/>
      <c r="AC71" s="169"/>
      <c r="AD71" s="170"/>
      <c r="AE71" s="170"/>
      <c r="AF71" s="170"/>
      <c r="AG71" s="169"/>
      <c r="AH71" s="170"/>
      <c r="AI71" s="170"/>
      <c r="AJ71" s="169"/>
      <c r="AK71" s="170"/>
      <c r="AL71" s="170"/>
      <c r="AM71" s="169"/>
      <c r="AN71" s="170"/>
      <c r="AO71" s="170"/>
      <c r="AP71" s="170"/>
      <c r="AQ71" s="170"/>
      <c r="AR71" s="170"/>
      <c r="AS71" s="171"/>
    </row>
    <row r="72" spans="1:45" ht="26.25">
      <c r="A72" s="11" t="s">
        <v>446</v>
      </c>
      <c r="B72" s="167" t="s">
        <v>447</v>
      </c>
      <c r="C72" s="200"/>
      <c r="D72" s="201"/>
      <c r="E72" s="202">
        <f>SUM(C72:D72)</f>
        <v>0</v>
      </c>
      <c r="F72" s="200"/>
      <c r="G72" s="201"/>
      <c r="H72" s="202">
        <f>SUM(F72:G72)</f>
        <v>0</v>
      </c>
      <c r="I72" s="200"/>
      <c r="J72" s="201"/>
      <c r="K72" s="202">
        <f>SUM(I72:J72)</f>
        <v>0</v>
      </c>
      <c r="L72" s="214">
        <f>SUM(E72,H72,K72)</f>
        <v>0</v>
      </c>
      <c r="M72" s="200"/>
      <c r="N72" s="201"/>
      <c r="O72" s="202">
        <f>SUM(M72:N72)</f>
        <v>0</v>
      </c>
      <c r="P72" s="200"/>
      <c r="Q72" s="201"/>
      <c r="R72" s="202">
        <f>SUM(P72:Q72)</f>
        <v>0</v>
      </c>
      <c r="S72" s="200"/>
      <c r="T72" s="201">
        <v>11</v>
      </c>
      <c r="U72" s="202">
        <f>SUM(S72:T72)</f>
        <v>11</v>
      </c>
      <c r="V72" s="214">
        <f>SUM(O72,R72,U72)</f>
        <v>11</v>
      </c>
      <c r="W72" s="200"/>
      <c r="X72" s="201"/>
      <c r="Y72" s="202">
        <f>SUM(W72:X72)</f>
        <v>0</v>
      </c>
      <c r="Z72" s="200"/>
      <c r="AA72" s="201"/>
      <c r="AB72" s="202">
        <f>SUM(Z72:AA72)</f>
        <v>0</v>
      </c>
      <c r="AC72" s="200"/>
      <c r="AD72" s="201"/>
      <c r="AE72" s="202">
        <f>SUM(AC72:AD72)</f>
        <v>0</v>
      </c>
      <c r="AF72" s="214">
        <f>SUM(Y72,AB72,AE72)</f>
        <v>0</v>
      </c>
      <c r="AG72" s="200"/>
      <c r="AH72" s="201"/>
      <c r="AI72" s="202">
        <f>SUM(AG72:AH72)</f>
        <v>0</v>
      </c>
      <c r="AJ72" s="200"/>
      <c r="AK72" s="201"/>
      <c r="AL72" s="202">
        <f>SUM(AJ72:AK72)</f>
        <v>0</v>
      </c>
      <c r="AM72" s="200"/>
      <c r="AN72" s="201"/>
      <c r="AO72" s="202">
        <f>SUM(AM72:AN72)</f>
        <v>0</v>
      </c>
      <c r="AP72" s="214">
        <f>SUM(AI72,AL72,AO72)</f>
        <v>0</v>
      </c>
      <c r="AQ72" s="140">
        <f>C72+F72+I72+M72+P72+S72+W72+Z72+AC72+AG72+AJ72+AM72</f>
        <v>0</v>
      </c>
      <c r="AR72" s="140">
        <f>D72+G72+J72+N72+Q72+T72+X72+AA72+AD72+AH72+AK72+AN72</f>
        <v>11</v>
      </c>
      <c r="AS72" s="140">
        <f t="shared" si="17"/>
        <v>11</v>
      </c>
    </row>
    <row r="73" spans="1:45" ht="26.25">
      <c r="A73" s="11" t="s">
        <v>448</v>
      </c>
      <c r="B73" s="168" t="s">
        <v>449</v>
      </c>
      <c r="C73" s="194"/>
      <c r="D73" s="195">
        <v>36</v>
      </c>
      <c r="E73" s="196">
        <f>SUM(C73:D73)</f>
        <v>36</v>
      </c>
      <c r="F73" s="194">
        <v>400</v>
      </c>
      <c r="G73" s="195">
        <f>185+6</f>
        <v>191</v>
      </c>
      <c r="H73" s="196">
        <f>SUM(F73:G73)</f>
        <v>591</v>
      </c>
      <c r="I73" s="194">
        <f>218</f>
        <v>218</v>
      </c>
      <c r="J73" s="195">
        <f>545+36</f>
        <v>581</v>
      </c>
      <c r="K73" s="196">
        <f>SUM(I73:J73)</f>
        <v>799</v>
      </c>
      <c r="L73" s="213">
        <f>SUM(E73,H73,K73)</f>
        <v>1426</v>
      </c>
      <c r="M73" s="194">
        <f>111+17</f>
        <v>128</v>
      </c>
      <c r="N73" s="195">
        <f>1+51</f>
        <v>52</v>
      </c>
      <c r="O73" s="196">
        <f>SUM(M73:N73)</f>
        <v>180</v>
      </c>
      <c r="P73" s="194">
        <f>262+11</f>
        <v>273</v>
      </c>
      <c r="Q73" s="195">
        <f>20</f>
        <v>20</v>
      </c>
      <c r="R73" s="196">
        <f>SUM(P73:Q73)</f>
        <v>293</v>
      </c>
      <c r="S73" s="194">
        <f>301+14</f>
        <v>315</v>
      </c>
      <c r="T73" s="195">
        <f>20+4</f>
        <v>24</v>
      </c>
      <c r="U73" s="196">
        <f>SUM(S73:T73)</f>
        <v>339</v>
      </c>
      <c r="V73" s="213">
        <f>SUM(O73,R73,U73)</f>
        <v>812</v>
      </c>
      <c r="W73" s="194">
        <f>118+346+30</f>
        <v>494</v>
      </c>
      <c r="X73" s="195">
        <f>18+4</f>
        <v>22</v>
      </c>
      <c r="Y73" s="196">
        <f>SUM(W73:X73)</f>
        <v>516</v>
      </c>
      <c r="Z73" s="194">
        <f>47+20</f>
        <v>67</v>
      </c>
      <c r="AA73" s="195">
        <f>43+2</f>
        <v>45</v>
      </c>
      <c r="AB73" s="196">
        <f>SUM(Z73:AA73)</f>
        <v>112</v>
      </c>
      <c r="AC73" s="194">
        <v>1215</v>
      </c>
      <c r="AD73" s="195"/>
      <c r="AE73" s="196">
        <f>SUM(AC73:AD73)</f>
        <v>1215</v>
      </c>
      <c r="AF73" s="213">
        <f>SUM(Y73,AB73,AE73)</f>
        <v>1843</v>
      </c>
      <c r="AG73" s="194">
        <v>1189</v>
      </c>
      <c r="AH73" s="195"/>
      <c r="AI73" s="196">
        <f>SUM(AG73:AH73)</f>
        <v>1189</v>
      </c>
      <c r="AJ73" s="194">
        <v>394</v>
      </c>
      <c r="AK73" s="195"/>
      <c r="AL73" s="196">
        <f>SUM(AJ73:AK73)</f>
        <v>394</v>
      </c>
      <c r="AM73" s="194">
        <v>1147</v>
      </c>
      <c r="AN73" s="195"/>
      <c r="AO73" s="196">
        <f>SUM(AM73:AN73)</f>
        <v>1147</v>
      </c>
      <c r="AP73" s="213">
        <f>SUM(AI73,AL73,AO73)</f>
        <v>2730</v>
      </c>
      <c r="AQ73" s="157">
        <f>C73+F73+I73+M73+P73+S73+W73+Z73+AC73+AG73+AJ73+AM73</f>
        <v>5840</v>
      </c>
      <c r="AR73" s="157">
        <f>D73+G73+J73+N73+Q73+T73+X73+AA73+AD73+AH73+AK73+AN73</f>
        <v>971</v>
      </c>
      <c r="AS73" s="157">
        <f t="shared" si="17"/>
        <v>6811</v>
      </c>
    </row>
    <row r="74" spans="2:45" ht="26.25">
      <c r="B74" s="169" t="s">
        <v>450</v>
      </c>
      <c r="C74" s="169"/>
      <c r="D74" s="170"/>
      <c r="E74" s="170"/>
      <c r="F74" s="169"/>
      <c r="G74" s="170"/>
      <c r="H74" s="170"/>
      <c r="I74" s="169"/>
      <c r="J74" s="170"/>
      <c r="K74" s="170"/>
      <c r="L74" s="170"/>
      <c r="M74" s="169"/>
      <c r="N74" s="170"/>
      <c r="O74" s="170"/>
      <c r="P74" s="169"/>
      <c r="Q74" s="170"/>
      <c r="R74" s="170"/>
      <c r="S74" s="169"/>
      <c r="T74" s="170"/>
      <c r="U74" s="170"/>
      <c r="V74" s="170"/>
      <c r="W74" s="169"/>
      <c r="X74" s="170"/>
      <c r="Y74" s="170"/>
      <c r="Z74" s="169"/>
      <c r="AA74" s="170"/>
      <c r="AB74" s="170"/>
      <c r="AC74" s="169"/>
      <c r="AD74" s="170"/>
      <c r="AE74" s="170"/>
      <c r="AF74" s="170"/>
      <c r="AG74" s="169"/>
      <c r="AH74" s="170"/>
      <c r="AI74" s="170"/>
      <c r="AJ74" s="169"/>
      <c r="AK74" s="170"/>
      <c r="AL74" s="170"/>
      <c r="AM74" s="169"/>
      <c r="AN74" s="170"/>
      <c r="AO74" s="170"/>
      <c r="AP74" s="170"/>
      <c r="AQ74" s="170"/>
      <c r="AR74" s="170"/>
      <c r="AS74" s="171"/>
    </row>
    <row r="75" spans="1:45" ht="26.25">
      <c r="A75" s="11" t="s">
        <v>451</v>
      </c>
      <c r="B75" s="13" t="s">
        <v>452</v>
      </c>
      <c r="C75" s="203"/>
      <c r="D75" s="204"/>
      <c r="E75" s="205">
        <f>SUM(C75:D75)</f>
        <v>0</v>
      </c>
      <c r="F75" s="203"/>
      <c r="G75" s="204"/>
      <c r="H75" s="205">
        <f>SUM(F75:G75)</f>
        <v>0</v>
      </c>
      <c r="I75" s="203"/>
      <c r="J75" s="204"/>
      <c r="K75" s="205">
        <f>SUM(I75:J75)</f>
        <v>0</v>
      </c>
      <c r="L75" s="210">
        <f>SUM(E75,H75,K75)</f>
        <v>0</v>
      </c>
      <c r="M75" s="203"/>
      <c r="N75" s="204"/>
      <c r="O75" s="205">
        <f>SUM(M75:N75)</f>
        <v>0</v>
      </c>
      <c r="P75" s="203"/>
      <c r="Q75" s="204"/>
      <c r="R75" s="205">
        <f>SUM(P75:Q75)</f>
        <v>0</v>
      </c>
      <c r="S75" s="203"/>
      <c r="T75" s="204"/>
      <c r="U75" s="205">
        <f>SUM(S75:T75)</f>
        <v>0</v>
      </c>
      <c r="V75" s="210">
        <f>SUM(O75,R75,U75)</f>
        <v>0</v>
      </c>
      <c r="W75" s="203"/>
      <c r="X75" s="204"/>
      <c r="Y75" s="205">
        <f>SUM(W75:X75)</f>
        <v>0</v>
      </c>
      <c r="Z75" s="203"/>
      <c r="AA75" s="204"/>
      <c r="AB75" s="205">
        <f>SUM(Z75:AA75)</f>
        <v>0</v>
      </c>
      <c r="AC75" s="203"/>
      <c r="AD75" s="204"/>
      <c r="AE75" s="205">
        <f>SUM(AC75:AD75)</f>
        <v>0</v>
      </c>
      <c r="AF75" s="210">
        <f>SUM(Y75,AB75,AE75)</f>
        <v>0</v>
      </c>
      <c r="AG75" s="203"/>
      <c r="AH75" s="204"/>
      <c r="AI75" s="205">
        <f>SUM(AG75:AH75)</f>
        <v>0</v>
      </c>
      <c r="AJ75" s="203"/>
      <c r="AK75" s="204"/>
      <c r="AL75" s="205">
        <f>SUM(AJ75:AK75)</f>
        <v>0</v>
      </c>
      <c r="AM75" s="203"/>
      <c r="AN75" s="204"/>
      <c r="AO75" s="205">
        <f>SUM(AM75:AN75)</f>
        <v>0</v>
      </c>
      <c r="AP75" s="210">
        <f>SUM(AI75,AL75,AO75)</f>
        <v>0</v>
      </c>
      <c r="AQ75" s="15">
        <f>C75+F75+I75+M75+P75+S75+W75+Z75+AC75+AG75+AJ75+AM75</f>
        <v>0</v>
      </c>
      <c r="AR75" s="15">
        <f>D75+G75+J75+N75+Q75+T75+X75+AA75+AD75+AH75+AK75+AN75</f>
        <v>0</v>
      </c>
      <c r="AS75" s="15">
        <f t="shared" si="17"/>
        <v>0</v>
      </c>
    </row>
    <row r="76" spans="1:45" ht="26.25">
      <c r="A76" s="11" t="s">
        <v>453</v>
      </c>
      <c r="B76" s="409" t="s">
        <v>454</v>
      </c>
      <c r="C76" s="408">
        <f>SUM(C75,C72:C73,C55:C70)</f>
        <v>6263</v>
      </c>
      <c r="D76" s="408">
        <f aca="true" t="shared" si="60" ref="D76:AS76">SUM(D75,D72:D73,D55:D70)</f>
        <v>7727</v>
      </c>
      <c r="E76" s="408">
        <f t="shared" si="60"/>
        <v>13990</v>
      </c>
      <c r="F76" s="408">
        <f t="shared" si="60"/>
        <v>16005</v>
      </c>
      <c r="G76" s="408">
        <f t="shared" si="60"/>
        <v>20745</v>
      </c>
      <c r="H76" s="408">
        <f t="shared" si="60"/>
        <v>36750</v>
      </c>
      <c r="I76" s="408">
        <f t="shared" si="60"/>
        <v>21005</v>
      </c>
      <c r="J76" s="408">
        <f t="shared" si="60"/>
        <v>12081</v>
      </c>
      <c r="K76" s="408">
        <f t="shared" si="60"/>
        <v>33086</v>
      </c>
      <c r="L76" s="408">
        <f t="shared" si="60"/>
        <v>83826</v>
      </c>
      <c r="M76" s="408">
        <f t="shared" si="60"/>
        <v>27142</v>
      </c>
      <c r="N76" s="408">
        <f t="shared" si="60"/>
        <v>4078</v>
      </c>
      <c r="O76" s="408">
        <f t="shared" si="60"/>
        <v>31220</v>
      </c>
      <c r="P76" s="408">
        <f t="shared" si="60"/>
        <v>34744</v>
      </c>
      <c r="Q76" s="408">
        <f t="shared" si="60"/>
        <v>5460</v>
      </c>
      <c r="R76" s="408">
        <f t="shared" si="60"/>
        <v>40204</v>
      </c>
      <c r="S76" s="408">
        <f t="shared" si="60"/>
        <v>33076</v>
      </c>
      <c r="T76" s="408">
        <f t="shared" si="60"/>
        <v>1348</v>
      </c>
      <c r="U76" s="408">
        <f t="shared" si="60"/>
        <v>34424</v>
      </c>
      <c r="V76" s="408">
        <f t="shared" si="60"/>
        <v>105848</v>
      </c>
      <c r="W76" s="408">
        <f t="shared" si="60"/>
        <v>36579</v>
      </c>
      <c r="X76" s="408">
        <f t="shared" si="60"/>
        <v>1484</v>
      </c>
      <c r="Y76" s="408">
        <f t="shared" si="60"/>
        <v>38063</v>
      </c>
      <c r="Z76" s="408">
        <f t="shared" si="60"/>
        <v>28855</v>
      </c>
      <c r="AA76" s="408">
        <f t="shared" si="60"/>
        <v>459</v>
      </c>
      <c r="AB76" s="408">
        <f t="shared" si="60"/>
        <v>29314</v>
      </c>
      <c r="AC76" s="408">
        <f t="shared" si="60"/>
        <v>34765</v>
      </c>
      <c r="AD76" s="408">
        <f t="shared" si="60"/>
        <v>2440</v>
      </c>
      <c r="AE76" s="408">
        <f t="shared" si="60"/>
        <v>37205</v>
      </c>
      <c r="AF76" s="408">
        <f t="shared" si="60"/>
        <v>104582</v>
      </c>
      <c r="AG76" s="408">
        <f t="shared" si="60"/>
        <v>36339</v>
      </c>
      <c r="AH76" s="408">
        <f t="shared" si="60"/>
        <v>2850</v>
      </c>
      <c r="AI76" s="408">
        <f t="shared" si="60"/>
        <v>39189</v>
      </c>
      <c r="AJ76" s="408">
        <f t="shared" si="60"/>
        <v>32844</v>
      </c>
      <c r="AK76" s="408">
        <f t="shared" si="60"/>
        <v>2850</v>
      </c>
      <c r="AL76" s="408">
        <f t="shared" si="60"/>
        <v>35694</v>
      </c>
      <c r="AM76" s="408">
        <f t="shared" si="60"/>
        <v>44965</v>
      </c>
      <c r="AN76" s="408">
        <f t="shared" si="60"/>
        <v>2250</v>
      </c>
      <c r="AO76" s="408">
        <f t="shared" si="60"/>
        <v>47215</v>
      </c>
      <c r="AP76" s="408">
        <f t="shared" si="60"/>
        <v>122098</v>
      </c>
      <c r="AQ76" s="408">
        <f t="shared" si="60"/>
        <v>352582</v>
      </c>
      <c r="AR76" s="408">
        <f t="shared" si="60"/>
        <v>63772</v>
      </c>
      <c r="AS76" s="408">
        <f t="shared" si="60"/>
        <v>416354</v>
      </c>
    </row>
    <row r="77" spans="1:45" ht="26.25" customHeight="1">
      <c r="A77" s="414"/>
      <c r="B77" s="406"/>
      <c r="C77" s="414"/>
      <c r="D77" s="414"/>
      <c r="E77" s="414"/>
      <c r="F77" s="414"/>
      <c r="G77" s="414"/>
      <c r="H77" s="414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  <c r="AD77" s="414"/>
      <c r="AE77" s="414"/>
      <c r="AF77" s="414"/>
      <c r="AG77" s="414"/>
      <c r="AH77" s="414"/>
      <c r="AI77" s="414"/>
      <c r="AJ77" s="414"/>
      <c r="AK77" s="414"/>
      <c r="AL77" s="414"/>
      <c r="AM77" s="414"/>
      <c r="AN77" s="414"/>
      <c r="AO77" s="414"/>
      <c r="AP77" s="414"/>
      <c r="AQ77" s="414"/>
      <c r="AR77" s="414"/>
      <c r="AS77" s="414"/>
    </row>
    <row r="78" spans="1:45" ht="26.25">
      <c r="A78" s="11" t="s">
        <v>455</v>
      </c>
      <c r="B78" s="410" t="s">
        <v>456</v>
      </c>
      <c r="C78" s="408">
        <f aca="true" t="shared" si="61" ref="C78:AP78">+C53-C76</f>
        <v>3718</v>
      </c>
      <c r="D78" s="408">
        <f t="shared" si="61"/>
        <v>-2849</v>
      </c>
      <c r="E78" s="408">
        <f t="shared" si="61"/>
        <v>869</v>
      </c>
      <c r="F78" s="408">
        <f t="shared" si="61"/>
        <v>8400</v>
      </c>
      <c r="G78" s="408">
        <f t="shared" si="61"/>
        <v>-3652</v>
      </c>
      <c r="H78" s="408">
        <f t="shared" si="61"/>
        <v>4748</v>
      </c>
      <c r="I78" s="408">
        <f t="shared" si="61"/>
        <v>19999</v>
      </c>
      <c r="J78" s="408">
        <f t="shared" si="61"/>
        <v>-5384</v>
      </c>
      <c r="K78" s="408">
        <f t="shared" si="61"/>
        <v>14615</v>
      </c>
      <c r="L78" s="408">
        <f t="shared" si="61"/>
        <v>20232</v>
      </c>
      <c r="M78" s="408">
        <f t="shared" si="61"/>
        <v>730</v>
      </c>
      <c r="N78" s="408">
        <f t="shared" si="61"/>
        <v>-1349</v>
      </c>
      <c r="O78" s="408">
        <f t="shared" si="61"/>
        <v>-619</v>
      </c>
      <c r="P78" s="408">
        <f t="shared" si="61"/>
        <v>1562</v>
      </c>
      <c r="Q78" s="408">
        <f t="shared" si="61"/>
        <v>-471</v>
      </c>
      <c r="R78" s="408">
        <f t="shared" si="61"/>
        <v>1091</v>
      </c>
      <c r="S78" s="408">
        <f t="shared" si="61"/>
        <v>-3356</v>
      </c>
      <c r="T78" s="408">
        <f t="shared" si="61"/>
        <v>376</v>
      </c>
      <c r="U78" s="408">
        <f t="shared" si="61"/>
        <v>-2980</v>
      </c>
      <c r="V78" s="408">
        <f t="shared" si="61"/>
        <v>-2508</v>
      </c>
      <c r="W78" s="408">
        <f t="shared" si="61"/>
        <v>-12604</v>
      </c>
      <c r="X78" s="408">
        <f t="shared" si="61"/>
        <v>158</v>
      </c>
      <c r="Y78" s="408">
        <f t="shared" si="61"/>
        <v>-12446</v>
      </c>
      <c r="Z78" s="408">
        <f t="shared" si="61"/>
        <v>10115</v>
      </c>
      <c r="AA78" s="408">
        <f t="shared" si="61"/>
        <v>1051</v>
      </c>
      <c r="AB78" s="408">
        <f t="shared" si="61"/>
        <v>11166</v>
      </c>
      <c r="AC78" s="408">
        <f t="shared" si="61"/>
        <v>-2995</v>
      </c>
      <c r="AD78" s="408">
        <f t="shared" si="61"/>
        <v>-1140</v>
      </c>
      <c r="AE78" s="408">
        <f t="shared" si="61"/>
        <v>-4135</v>
      </c>
      <c r="AF78" s="408">
        <f t="shared" si="61"/>
        <v>-5415</v>
      </c>
      <c r="AG78" s="408">
        <f t="shared" si="61"/>
        <v>-2224</v>
      </c>
      <c r="AH78" s="408">
        <f t="shared" si="61"/>
        <v>-1550</v>
      </c>
      <c r="AI78" s="408">
        <f t="shared" si="61"/>
        <v>-3774</v>
      </c>
      <c r="AJ78" s="408">
        <f t="shared" si="61"/>
        <v>245</v>
      </c>
      <c r="AK78" s="408">
        <f t="shared" si="61"/>
        <v>-1550</v>
      </c>
      <c r="AL78" s="408">
        <f t="shared" si="61"/>
        <v>-1305</v>
      </c>
      <c r="AM78" s="408">
        <f t="shared" si="61"/>
        <v>-12483</v>
      </c>
      <c r="AN78" s="408">
        <f t="shared" si="61"/>
        <v>6050</v>
      </c>
      <c r="AO78" s="408">
        <f t="shared" si="61"/>
        <v>-6433</v>
      </c>
      <c r="AP78" s="408">
        <f t="shared" si="61"/>
        <v>-11512</v>
      </c>
      <c r="AQ78" s="408">
        <f>C78+F78+I78+M78+P78+S78+W78+Z78+AC78+AG78+AJ78+AM78</f>
        <v>11107</v>
      </c>
      <c r="AR78" s="408">
        <f>D78+G78+J78+N78+Q78+T78+X78+AA78+AD78+AH78+AK78+AN78</f>
        <v>-10310</v>
      </c>
      <c r="AS78" s="408">
        <f t="shared" si="17"/>
        <v>797</v>
      </c>
    </row>
    <row r="79" spans="1:45" ht="26.25">
      <c r="A79" s="11" t="s">
        <v>457</v>
      </c>
      <c r="B79" s="407" t="s">
        <v>458</v>
      </c>
      <c r="C79" s="179"/>
      <c r="D79" s="180"/>
      <c r="E79" s="177">
        <f>E13+E17+E23+E24+E39-E59-E60-E61-E64</f>
        <v>0</v>
      </c>
      <c r="F79" s="179"/>
      <c r="G79" s="180"/>
      <c r="H79" s="177">
        <f>H13+H17+H23+H24+H39-H59-H60-H61-H64</f>
        <v>0</v>
      </c>
      <c r="I79" s="179"/>
      <c r="J79" s="180"/>
      <c r="K79" s="177">
        <f>K13+K17+K23+K24+K39-K59-K60-K61-K64</f>
        <v>0</v>
      </c>
      <c r="L79" s="210">
        <f>SUM(E79,H79,K79)</f>
        <v>0</v>
      </c>
      <c r="M79" s="179"/>
      <c r="N79" s="180"/>
      <c r="O79" s="177">
        <f>O13+O17+O23+O24+O39-O59-O60-O61-O64</f>
        <v>0</v>
      </c>
      <c r="P79" s="179"/>
      <c r="Q79" s="180"/>
      <c r="R79" s="177">
        <f>R13+R17+R23+R24+R39-R59-R60-R61-R64</f>
        <v>0</v>
      </c>
      <c r="S79" s="179"/>
      <c r="T79" s="180"/>
      <c r="U79" s="177">
        <f>U13+U17+U23+U24+U39-U59-U60-U61-U64</f>
        <v>0</v>
      </c>
      <c r="V79" s="210">
        <f>SUM(O79,R79,U79)</f>
        <v>0</v>
      </c>
      <c r="W79" s="179"/>
      <c r="X79" s="180"/>
      <c r="Y79" s="177">
        <f>Y13+Y17+Y23+Y24+Y39-Y59-Y60-Y61-Y64</f>
        <v>0</v>
      </c>
      <c r="Z79" s="179"/>
      <c r="AA79" s="180"/>
      <c r="AB79" s="177">
        <f>AB13+AB17+AB23+AB24+AB39-AB59-AB60-AB61-AB64</f>
        <v>0</v>
      </c>
      <c r="AC79" s="179"/>
      <c r="AD79" s="180"/>
      <c r="AE79" s="177">
        <f>AE13+AE17+AE23+AE24+AE39-AE59-AE60-AE61-AE64</f>
        <v>0</v>
      </c>
      <c r="AF79" s="210">
        <f>SUM(Y79,AB79,AE79)</f>
        <v>0</v>
      </c>
      <c r="AG79" s="179"/>
      <c r="AH79" s="180"/>
      <c r="AI79" s="177">
        <f>AI13+AI17+AI23+AI24+AI39-AI59-AI60-AI61-AI64</f>
        <v>0</v>
      </c>
      <c r="AJ79" s="179"/>
      <c r="AK79" s="180"/>
      <c r="AL79" s="177">
        <f>AL13+AL17+AL23+AL24+AL39-AL59-AL60-AL61-AL64</f>
        <v>0</v>
      </c>
      <c r="AM79" s="179"/>
      <c r="AN79" s="180"/>
      <c r="AO79" s="177">
        <f>AO13+AO17+AO23+AO24+AO39-AO59-AO60-AO61-AO64</f>
        <v>0</v>
      </c>
      <c r="AP79" s="210">
        <f>SUM(AI79,AL79,AO79)</f>
        <v>0</v>
      </c>
      <c r="AQ79" s="181"/>
      <c r="AR79" s="181"/>
      <c r="AS79" s="181"/>
    </row>
    <row r="80" spans="1:45" ht="26.25">
      <c r="A80" s="11" t="s">
        <v>459</v>
      </c>
      <c r="B80" s="411" t="s">
        <v>460</v>
      </c>
      <c r="C80" s="408">
        <f aca="true" t="shared" si="62" ref="C80:H80">C9+C78</f>
        <v>3718</v>
      </c>
      <c r="D80" s="408">
        <f t="shared" si="62"/>
        <v>-2849</v>
      </c>
      <c r="E80" s="408">
        <f t="shared" si="62"/>
        <v>2555</v>
      </c>
      <c r="F80" s="408">
        <f t="shared" si="62"/>
        <v>8400</v>
      </c>
      <c r="G80" s="408">
        <f t="shared" si="62"/>
        <v>-3652</v>
      </c>
      <c r="H80" s="408">
        <f t="shared" si="62"/>
        <v>7303</v>
      </c>
      <c r="I80" s="408">
        <f aca="true" t="shared" si="63" ref="I80:AN80">I9+I78</f>
        <v>19999</v>
      </c>
      <c r="J80" s="408">
        <f t="shared" si="63"/>
        <v>-5384</v>
      </c>
      <c r="K80" s="408">
        <f t="shared" si="63"/>
        <v>21918</v>
      </c>
      <c r="L80" s="408">
        <f t="shared" si="63"/>
        <v>27535</v>
      </c>
      <c r="M80" s="408">
        <f t="shared" si="63"/>
        <v>730</v>
      </c>
      <c r="N80" s="408">
        <f t="shared" si="63"/>
        <v>-1349</v>
      </c>
      <c r="O80" s="408">
        <f t="shared" si="63"/>
        <v>21299</v>
      </c>
      <c r="P80" s="408">
        <f t="shared" si="63"/>
        <v>1562</v>
      </c>
      <c r="Q80" s="408">
        <f t="shared" si="63"/>
        <v>-471</v>
      </c>
      <c r="R80" s="408">
        <f t="shared" si="63"/>
        <v>22390</v>
      </c>
      <c r="S80" s="408">
        <f t="shared" si="63"/>
        <v>-3356</v>
      </c>
      <c r="T80" s="408">
        <f t="shared" si="63"/>
        <v>376</v>
      </c>
      <c r="U80" s="408">
        <f t="shared" si="63"/>
        <v>19450</v>
      </c>
      <c r="V80" s="408">
        <f t="shared" si="63"/>
        <v>19922</v>
      </c>
      <c r="W80" s="408">
        <f t="shared" si="63"/>
        <v>-12604</v>
      </c>
      <c r="X80" s="408">
        <f t="shared" si="63"/>
        <v>158</v>
      </c>
      <c r="Y80" s="408">
        <f t="shared" si="63"/>
        <v>7004</v>
      </c>
      <c r="Z80" s="408">
        <f t="shared" si="63"/>
        <v>10115</v>
      </c>
      <c r="AA80" s="408">
        <f t="shared" si="63"/>
        <v>1051</v>
      </c>
      <c r="AB80" s="408">
        <f t="shared" si="63"/>
        <v>18170</v>
      </c>
      <c r="AC80" s="408">
        <f t="shared" si="63"/>
        <v>-2995</v>
      </c>
      <c r="AD80" s="408">
        <f t="shared" si="63"/>
        <v>-1140</v>
      </c>
      <c r="AE80" s="408">
        <f t="shared" si="63"/>
        <v>14035</v>
      </c>
      <c r="AF80" s="408">
        <f t="shared" si="63"/>
        <v>12755</v>
      </c>
      <c r="AG80" s="408">
        <f t="shared" si="63"/>
        <v>-2224</v>
      </c>
      <c r="AH80" s="408">
        <f t="shared" si="63"/>
        <v>-1550</v>
      </c>
      <c r="AI80" s="408">
        <f t="shared" si="63"/>
        <v>8981</v>
      </c>
      <c r="AJ80" s="408">
        <f t="shared" si="63"/>
        <v>245</v>
      </c>
      <c r="AK80" s="408">
        <f t="shared" si="63"/>
        <v>-1550</v>
      </c>
      <c r="AL80" s="408">
        <f t="shared" si="63"/>
        <v>7676</v>
      </c>
      <c r="AM80" s="408">
        <f t="shared" si="63"/>
        <v>-12483</v>
      </c>
      <c r="AN80" s="408">
        <f t="shared" si="63"/>
        <v>6050</v>
      </c>
      <c r="AO80" s="408">
        <f>AO9+AO78</f>
        <v>1243</v>
      </c>
      <c r="AP80" s="408">
        <f>AP9+AP78</f>
        <v>-3836</v>
      </c>
      <c r="AQ80" s="408">
        <f>AQ9+AQ78</f>
        <v>11107</v>
      </c>
      <c r="AR80" s="408">
        <f>AR9+AR78</f>
        <v>-10310</v>
      </c>
      <c r="AS80" s="408">
        <f>AS9+AS78</f>
        <v>797</v>
      </c>
    </row>
    <row r="81" spans="1:45" ht="26.25">
      <c r="A81" s="11" t="s">
        <v>461</v>
      </c>
      <c r="B81" s="411" t="s">
        <v>462</v>
      </c>
      <c r="C81" s="408">
        <f>+C80-C12+C88+C89</f>
        <v>3718</v>
      </c>
      <c r="D81" s="408">
        <f>+D80-D12+D88+D89</f>
        <v>-2849</v>
      </c>
      <c r="E81" s="408">
        <f>+E80-E12+E88+E89</f>
        <v>2555</v>
      </c>
      <c r="F81" s="408">
        <f aca="true" t="shared" si="64" ref="F81:AP81">+F80-F12+F88+F89</f>
        <v>8400</v>
      </c>
      <c r="G81" s="408">
        <f t="shared" si="64"/>
        <v>-3652</v>
      </c>
      <c r="H81" s="408">
        <f t="shared" si="64"/>
        <v>7303</v>
      </c>
      <c r="I81" s="408">
        <f t="shared" si="64"/>
        <v>19999</v>
      </c>
      <c r="J81" s="408">
        <f t="shared" si="64"/>
        <v>-5384</v>
      </c>
      <c r="K81" s="408">
        <f t="shared" si="64"/>
        <v>21918</v>
      </c>
      <c r="L81" s="408">
        <f t="shared" si="64"/>
        <v>27535</v>
      </c>
      <c r="M81" s="408">
        <f t="shared" si="64"/>
        <v>730</v>
      </c>
      <c r="N81" s="408">
        <f t="shared" si="64"/>
        <v>-1349</v>
      </c>
      <c r="O81" s="408">
        <f t="shared" si="64"/>
        <v>21299</v>
      </c>
      <c r="P81" s="408">
        <f t="shared" si="64"/>
        <v>1562</v>
      </c>
      <c r="Q81" s="408">
        <f t="shared" si="64"/>
        <v>-431</v>
      </c>
      <c r="R81" s="408">
        <f t="shared" si="64"/>
        <v>22430</v>
      </c>
      <c r="S81" s="408">
        <f t="shared" si="64"/>
        <v>-3356</v>
      </c>
      <c r="T81" s="408">
        <f t="shared" si="64"/>
        <v>376</v>
      </c>
      <c r="U81" s="408">
        <f t="shared" si="64"/>
        <v>19450</v>
      </c>
      <c r="V81" s="408">
        <f t="shared" si="64"/>
        <v>19962</v>
      </c>
      <c r="W81" s="408">
        <f t="shared" si="64"/>
        <v>-12604</v>
      </c>
      <c r="X81" s="408">
        <f t="shared" si="64"/>
        <v>158</v>
      </c>
      <c r="Y81" s="408">
        <f t="shared" si="64"/>
        <v>7004</v>
      </c>
      <c r="Z81" s="408">
        <f t="shared" si="64"/>
        <v>10115</v>
      </c>
      <c r="AA81" s="408">
        <f t="shared" si="64"/>
        <v>1051</v>
      </c>
      <c r="AB81" s="408">
        <f t="shared" si="64"/>
        <v>18170</v>
      </c>
      <c r="AC81" s="408">
        <f t="shared" si="64"/>
        <v>-2995</v>
      </c>
      <c r="AD81" s="408">
        <f t="shared" si="64"/>
        <v>-1140</v>
      </c>
      <c r="AE81" s="408">
        <f t="shared" si="64"/>
        <v>14035</v>
      </c>
      <c r="AF81" s="408">
        <f t="shared" si="64"/>
        <v>12755</v>
      </c>
      <c r="AG81" s="408">
        <f t="shared" si="64"/>
        <v>-2224</v>
      </c>
      <c r="AH81" s="408">
        <f t="shared" si="64"/>
        <v>-1550</v>
      </c>
      <c r="AI81" s="408">
        <f t="shared" si="64"/>
        <v>8981</v>
      </c>
      <c r="AJ81" s="408">
        <f t="shared" si="64"/>
        <v>245</v>
      </c>
      <c r="AK81" s="408">
        <f t="shared" si="64"/>
        <v>-1550</v>
      </c>
      <c r="AL81" s="408">
        <f t="shared" si="64"/>
        <v>7676</v>
      </c>
      <c r="AM81" s="408">
        <f t="shared" si="64"/>
        <v>-12483</v>
      </c>
      <c r="AN81" s="408">
        <f t="shared" si="64"/>
        <v>6050</v>
      </c>
      <c r="AO81" s="408">
        <f t="shared" si="64"/>
        <v>1243</v>
      </c>
      <c r="AP81" s="408">
        <f t="shared" si="64"/>
        <v>-3836</v>
      </c>
      <c r="AQ81" s="408">
        <f>+AQ80-AQ12+AQ88+AQ89</f>
        <v>11107</v>
      </c>
      <c r="AR81" s="408">
        <f>+AR80-AR12+AR88+AR89</f>
        <v>-10270</v>
      </c>
      <c r="AS81" s="408">
        <f>+AS80-AS12+AS88+AS89</f>
        <v>837</v>
      </c>
    </row>
    <row r="82" spans="2:45" ht="18.75">
      <c r="B82" s="9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</row>
    <row r="83" spans="1:45" ht="26.25">
      <c r="A83" s="11" t="s">
        <v>463</v>
      </c>
      <c r="B83" s="16" t="s">
        <v>464</v>
      </c>
      <c r="C83" s="179"/>
      <c r="D83" s="180"/>
      <c r="E83" s="121"/>
      <c r="F83" s="179"/>
      <c r="G83" s="180"/>
      <c r="H83" s="121"/>
      <c r="I83" s="179"/>
      <c r="J83" s="180"/>
      <c r="K83" s="121"/>
      <c r="L83" s="182">
        <f>+E83+H83+K83</f>
        <v>0</v>
      </c>
      <c r="M83" s="179"/>
      <c r="N83" s="180"/>
      <c r="O83" s="121"/>
      <c r="P83" s="179"/>
      <c r="Q83" s="180"/>
      <c r="R83" s="121"/>
      <c r="S83" s="179"/>
      <c r="T83" s="180"/>
      <c r="U83" s="121"/>
      <c r="V83" s="182">
        <f>+O83+R83+U83</f>
        <v>0</v>
      </c>
      <c r="W83" s="179"/>
      <c r="X83" s="180"/>
      <c r="Y83" s="121"/>
      <c r="Z83" s="179"/>
      <c r="AA83" s="180"/>
      <c r="AB83" s="121"/>
      <c r="AC83" s="179"/>
      <c r="AD83" s="180"/>
      <c r="AE83" s="121"/>
      <c r="AF83" s="182">
        <f>+Y83+AB83+AE83</f>
        <v>0</v>
      </c>
      <c r="AG83" s="179"/>
      <c r="AH83" s="180"/>
      <c r="AI83" s="121"/>
      <c r="AJ83" s="179"/>
      <c r="AK83" s="180"/>
      <c r="AL83" s="121"/>
      <c r="AM83" s="179"/>
      <c r="AN83" s="180"/>
      <c r="AO83" s="121"/>
      <c r="AP83" s="182">
        <f>+AI83+AL83+AO83</f>
        <v>0</v>
      </c>
      <c r="AQ83" s="179"/>
      <c r="AR83" s="180"/>
      <c r="AS83" s="183">
        <f t="shared" si="17"/>
        <v>0</v>
      </c>
    </row>
    <row r="84" spans="1:45" ht="26.25">
      <c r="A84" s="11" t="s">
        <v>465</v>
      </c>
      <c r="B84" s="16" t="s">
        <v>466</v>
      </c>
      <c r="C84" s="179"/>
      <c r="D84" s="180"/>
      <c r="E84" s="121"/>
      <c r="F84" s="179"/>
      <c r="G84" s="180"/>
      <c r="H84" s="121"/>
      <c r="I84" s="179"/>
      <c r="J84" s="180"/>
      <c r="K84" s="121"/>
      <c r="L84" s="182">
        <f>+E84+H84+K84</f>
        <v>0</v>
      </c>
      <c r="M84" s="179"/>
      <c r="N84" s="180"/>
      <c r="O84" s="121"/>
      <c r="P84" s="179"/>
      <c r="Q84" s="180"/>
      <c r="R84" s="121"/>
      <c r="S84" s="179"/>
      <c r="T84" s="180"/>
      <c r="U84" s="121"/>
      <c r="V84" s="182">
        <f>+O84+R84+U84</f>
        <v>0</v>
      </c>
      <c r="W84" s="179"/>
      <c r="X84" s="180"/>
      <c r="Y84" s="121"/>
      <c r="Z84" s="179"/>
      <c r="AA84" s="180"/>
      <c r="AB84" s="121"/>
      <c r="AC84" s="179"/>
      <c r="AD84" s="180"/>
      <c r="AE84" s="121"/>
      <c r="AF84" s="182">
        <f>+Y84+AB84+AE84</f>
        <v>0</v>
      </c>
      <c r="AG84" s="179"/>
      <c r="AH84" s="180"/>
      <c r="AI84" s="121"/>
      <c r="AJ84" s="179"/>
      <c r="AK84" s="180"/>
      <c r="AL84" s="121"/>
      <c r="AM84" s="179"/>
      <c r="AN84" s="180"/>
      <c r="AO84" s="121"/>
      <c r="AP84" s="182">
        <f>+AI84+AL84+AO84</f>
        <v>0</v>
      </c>
      <c r="AQ84" s="179"/>
      <c r="AR84" s="180"/>
      <c r="AS84" s="183">
        <f>SUM(AQ84:AR84)</f>
        <v>0</v>
      </c>
    </row>
    <row r="85" spans="1:45" ht="26.25">
      <c r="A85" s="11" t="s">
        <v>467</v>
      </c>
      <c r="B85" s="16" t="s">
        <v>468</v>
      </c>
      <c r="C85" s="179"/>
      <c r="D85" s="180"/>
      <c r="E85" s="121"/>
      <c r="F85" s="179"/>
      <c r="G85" s="180"/>
      <c r="H85" s="121"/>
      <c r="I85" s="179"/>
      <c r="J85" s="180"/>
      <c r="K85" s="121"/>
      <c r="L85" s="182">
        <f>+E85+H85+K85</f>
        <v>0</v>
      </c>
      <c r="M85" s="179"/>
      <c r="N85" s="180"/>
      <c r="O85" s="121"/>
      <c r="P85" s="179"/>
      <c r="Q85" s="180"/>
      <c r="R85" s="121"/>
      <c r="S85" s="179"/>
      <c r="T85" s="180"/>
      <c r="U85" s="121"/>
      <c r="V85" s="182">
        <f>+O85+R85+U85</f>
        <v>0</v>
      </c>
      <c r="W85" s="179"/>
      <c r="X85" s="180"/>
      <c r="Y85" s="121"/>
      <c r="Z85" s="179"/>
      <c r="AA85" s="180"/>
      <c r="AB85" s="121"/>
      <c r="AC85" s="179"/>
      <c r="AD85" s="180"/>
      <c r="AE85" s="121"/>
      <c r="AF85" s="182">
        <f>+Y85+AB85+AE85</f>
        <v>0</v>
      </c>
      <c r="AG85" s="179"/>
      <c r="AH85" s="180"/>
      <c r="AI85" s="121"/>
      <c r="AJ85" s="179"/>
      <c r="AK85" s="180"/>
      <c r="AL85" s="121"/>
      <c r="AM85" s="179"/>
      <c r="AN85" s="180"/>
      <c r="AO85" s="121"/>
      <c r="AP85" s="182">
        <f>+AI85+AL85+AO85</f>
        <v>0</v>
      </c>
      <c r="AQ85" s="179"/>
      <c r="AR85" s="180"/>
      <c r="AS85" s="183">
        <f>SUM(AQ85:AR85)</f>
        <v>0</v>
      </c>
    </row>
    <row r="88" spans="1:45" ht="26.25">
      <c r="A88" s="11" t="s">
        <v>469</v>
      </c>
      <c r="B88" s="84" t="s">
        <v>470</v>
      </c>
      <c r="C88" s="418">
        <f>C14+C15+C16</f>
        <v>8821</v>
      </c>
      <c r="D88" s="418">
        <f aca="true" t="shared" si="65" ref="D88:AS88">D14+D15+D16</f>
        <v>0</v>
      </c>
      <c r="E88" s="418">
        <f>E14+E15+E16</f>
        <v>8821</v>
      </c>
      <c r="F88" s="418">
        <f>F14+F15+F16</f>
        <v>8400</v>
      </c>
      <c r="G88" s="418">
        <f t="shared" si="65"/>
        <v>0</v>
      </c>
      <c r="H88" s="418">
        <f t="shared" si="65"/>
        <v>8400</v>
      </c>
      <c r="I88" s="418">
        <f>I14+I15+I16</f>
        <v>6000</v>
      </c>
      <c r="J88" s="418">
        <f t="shared" si="65"/>
        <v>0</v>
      </c>
      <c r="K88" s="418">
        <f t="shared" si="65"/>
        <v>6000</v>
      </c>
      <c r="L88" s="418">
        <f t="shared" si="65"/>
        <v>23221</v>
      </c>
      <c r="M88" s="418">
        <f t="shared" si="65"/>
        <v>7000</v>
      </c>
      <c r="N88" s="418">
        <f t="shared" si="65"/>
        <v>0</v>
      </c>
      <c r="O88" s="418">
        <f t="shared" si="65"/>
        <v>7000</v>
      </c>
      <c r="P88" s="418">
        <f t="shared" si="65"/>
        <v>7500</v>
      </c>
      <c r="Q88" s="418">
        <f t="shared" si="65"/>
        <v>40</v>
      </c>
      <c r="R88" s="418">
        <f t="shared" si="65"/>
        <v>7540</v>
      </c>
      <c r="S88" s="418">
        <f t="shared" si="65"/>
        <v>7500</v>
      </c>
      <c r="T88" s="418">
        <f t="shared" si="65"/>
        <v>0</v>
      </c>
      <c r="U88" s="418">
        <f t="shared" si="65"/>
        <v>7500</v>
      </c>
      <c r="V88" s="418">
        <f t="shared" si="65"/>
        <v>22040</v>
      </c>
      <c r="W88" s="418">
        <f t="shared" si="65"/>
        <v>8000</v>
      </c>
      <c r="X88" s="418">
        <f t="shared" si="65"/>
        <v>0</v>
      </c>
      <c r="Y88" s="418">
        <f t="shared" si="65"/>
        <v>8000</v>
      </c>
      <c r="Z88" s="418">
        <f t="shared" si="65"/>
        <v>7000</v>
      </c>
      <c r="AA88" s="418">
        <f t="shared" si="65"/>
        <v>0</v>
      </c>
      <c r="AB88" s="418">
        <f t="shared" si="65"/>
        <v>7000</v>
      </c>
      <c r="AC88" s="418">
        <f t="shared" si="65"/>
        <v>5000</v>
      </c>
      <c r="AD88" s="418">
        <f t="shared" si="65"/>
        <v>0</v>
      </c>
      <c r="AE88" s="418">
        <f t="shared" si="65"/>
        <v>5000</v>
      </c>
      <c r="AF88" s="418">
        <f t="shared" si="65"/>
        <v>20000</v>
      </c>
      <c r="AG88" s="418">
        <f t="shared" si="65"/>
        <v>8300</v>
      </c>
      <c r="AH88" s="418">
        <f t="shared" si="65"/>
        <v>0</v>
      </c>
      <c r="AI88" s="418">
        <f t="shared" si="65"/>
        <v>8300</v>
      </c>
      <c r="AJ88" s="418">
        <f t="shared" si="65"/>
        <v>8300</v>
      </c>
      <c r="AK88" s="418">
        <f t="shared" si="65"/>
        <v>0</v>
      </c>
      <c r="AL88" s="418">
        <f t="shared" si="65"/>
        <v>8300</v>
      </c>
      <c r="AM88" s="418">
        <f t="shared" si="65"/>
        <v>8688</v>
      </c>
      <c r="AN88" s="418">
        <f t="shared" si="65"/>
        <v>0</v>
      </c>
      <c r="AO88" s="418">
        <f t="shared" si="65"/>
        <v>8688</v>
      </c>
      <c r="AP88" s="418">
        <f t="shared" si="65"/>
        <v>25288</v>
      </c>
      <c r="AQ88" s="418">
        <f t="shared" si="65"/>
        <v>90509</v>
      </c>
      <c r="AR88" s="418">
        <f t="shared" si="65"/>
        <v>40</v>
      </c>
      <c r="AS88" s="419">
        <f t="shared" si="65"/>
        <v>90549</v>
      </c>
    </row>
    <row r="89" spans="1:45" ht="26.25">
      <c r="A89" s="11" t="s">
        <v>471</v>
      </c>
      <c r="B89" s="84" t="s">
        <v>472</v>
      </c>
      <c r="C89" s="418">
        <f>C13-C59</f>
        <v>0</v>
      </c>
      <c r="D89" s="418">
        <f aca="true" t="shared" si="66" ref="D89:AS89">D13-D59</f>
        <v>0</v>
      </c>
      <c r="E89" s="418">
        <f>E13-E59</f>
        <v>0</v>
      </c>
      <c r="F89" s="418">
        <f t="shared" si="66"/>
        <v>0</v>
      </c>
      <c r="G89" s="418">
        <f t="shared" si="66"/>
        <v>0</v>
      </c>
      <c r="H89" s="418">
        <f t="shared" si="66"/>
        <v>0</v>
      </c>
      <c r="I89" s="418">
        <f>I13-I59</f>
        <v>0</v>
      </c>
      <c r="J89" s="418">
        <f t="shared" si="66"/>
        <v>0</v>
      </c>
      <c r="K89" s="418">
        <f t="shared" si="66"/>
        <v>0</v>
      </c>
      <c r="L89" s="418">
        <f t="shared" si="66"/>
        <v>0</v>
      </c>
      <c r="M89" s="418">
        <f t="shared" si="66"/>
        <v>0</v>
      </c>
      <c r="N89" s="418">
        <f t="shared" si="66"/>
        <v>0</v>
      </c>
      <c r="O89" s="418">
        <f t="shared" si="66"/>
        <v>0</v>
      </c>
      <c r="P89" s="418">
        <f t="shared" si="66"/>
        <v>0</v>
      </c>
      <c r="Q89" s="418">
        <f t="shared" si="66"/>
        <v>0</v>
      </c>
      <c r="R89" s="418">
        <f t="shared" si="66"/>
        <v>0</v>
      </c>
      <c r="S89" s="418">
        <f t="shared" si="66"/>
        <v>0</v>
      </c>
      <c r="T89" s="418">
        <f t="shared" si="66"/>
        <v>0</v>
      </c>
      <c r="U89" s="418">
        <f t="shared" si="66"/>
        <v>0</v>
      </c>
      <c r="V89" s="418">
        <f t="shared" si="66"/>
        <v>0</v>
      </c>
      <c r="W89" s="418">
        <f t="shared" si="66"/>
        <v>0</v>
      </c>
      <c r="X89" s="418">
        <f t="shared" si="66"/>
        <v>0</v>
      </c>
      <c r="Y89" s="418">
        <f t="shared" si="66"/>
        <v>0</v>
      </c>
      <c r="Z89" s="418">
        <f t="shared" si="66"/>
        <v>0</v>
      </c>
      <c r="AA89" s="418">
        <f t="shared" si="66"/>
        <v>0</v>
      </c>
      <c r="AB89" s="418">
        <f t="shared" si="66"/>
        <v>0</v>
      </c>
      <c r="AC89" s="418">
        <f t="shared" si="66"/>
        <v>0</v>
      </c>
      <c r="AD89" s="418">
        <f t="shared" si="66"/>
        <v>0</v>
      </c>
      <c r="AE89" s="418">
        <f t="shared" si="66"/>
        <v>0</v>
      </c>
      <c r="AF89" s="418">
        <f t="shared" si="66"/>
        <v>0</v>
      </c>
      <c r="AG89" s="418">
        <f t="shared" si="66"/>
        <v>0</v>
      </c>
      <c r="AH89" s="418">
        <f t="shared" si="66"/>
        <v>0</v>
      </c>
      <c r="AI89" s="418">
        <f t="shared" si="66"/>
        <v>0</v>
      </c>
      <c r="AJ89" s="418">
        <f t="shared" si="66"/>
        <v>0</v>
      </c>
      <c r="AK89" s="418">
        <f t="shared" si="66"/>
        <v>0</v>
      </c>
      <c r="AL89" s="418">
        <f t="shared" si="66"/>
        <v>0</v>
      </c>
      <c r="AM89" s="418">
        <f t="shared" si="66"/>
        <v>0</v>
      </c>
      <c r="AN89" s="418">
        <f t="shared" si="66"/>
        <v>0</v>
      </c>
      <c r="AO89" s="418">
        <f t="shared" si="66"/>
        <v>0</v>
      </c>
      <c r="AP89" s="418">
        <f t="shared" si="66"/>
        <v>0</v>
      </c>
      <c r="AQ89" s="418">
        <f t="shared" si="66"/>
        <v>0</v>
      </c>
      <c r="AR89" s="418">
        <f t="shared" si="66"/>
        <v>0</v>
      </c>
      <c r="AS89" s="419">
        <f t="shared" si="66"/>
        <v>0</v>
      </c>
    </row>
    <row r="90" spans="1:45" ht="26.25">
      <c r="A90" s="11" t="s">
        <v>473</v>
      </c>
      <c r="B90" s="84" t="s">
        <v>474</v>
      </c>
      <c r="C90" s="418">
        <f>C88</f>
        <v>8821</v>
      </c>
      <c r="D90" s="418">
        <f aca="true" t="shared" si="67" ref="D90:AS90">D88</f>
        <v>0</v>
      </c>
      <c r="E90" s="418">
        <f>E88</f>
        <v>8821</v>
      </c>
      <c r="F90" s="418">
        <f>F88</f>
        <v>8400</v>
      </c>
      <c r="G90" s="418">
        <f t="shared" si="67"/>
        <v>0</v>
      </c>
      <c r="H90" s="418">
        <f t="shared" si="67"/>
        <v>8400</v>
      </c>
      <c r="I90" s="418">
        <f>I88</f>
        <v>6000</v>
      </c>
      <c r="J90" s="418">
        <f t="shared" si="67"/>
        <v>0</v>
      </c>
      <c r="K90" s="418">
        <f>K88</f>
        <v>6000</v>
      </c>
      <c r="L90" s="418">
        <f t="shared" si="67"/>
        <v>23221</v>
      </c>
      <c r="M90" s="418">
        <f t="shared" si="67"/>
        <v>7000</v>
      </c>
      <c r="N90" s="418">
        <f t="shared" si="67"/>
        <v>0</v>
      </c>
      <c r="O90" s="418">
        <f t="shared" si="67"/>
        <v>7000</v>
      </c>
      <c r="P90" s="418">
        <f t="shared" si="67"/>
        <v>7500</v>
      </c>
      <c r="Q90" s="418">
        <f t="shared" si="67"/>
        <v>40</v>
      </c>
      <c r="R90" s="418">
        <f t="shared" si="67"/>
        <v>7540</v>
      </c>
      <c r="S90" s="418">
        <f t="shared" si="67"/>
        <v>7500</v>
      </c>
      <c r="T90" s="418">
        <f t="shared" si="67"/>
        <v>0</v>
      </c>
      <c r="U90" s="418">
        <f t="shared" si="67"/>
        <v>7500</v>
      </c>
      <c r="V90" s="418">
        <f t="shared" si="67"/>
        <v>22040</v>
      </c>
      <c r="W90" s="418">
        <f t="shared" si="67"/>
        <v>8000</v>
      </c>
      <c r="X90" s="418">
        <f t="shared" si="67"/>
        <v>0</v>
      </c>
      <c r="Y90" s="418">
        <f t="shared" si="67"/>
        <v>8000</v>
      </c>
      <c r="Z90" s="418">
        <f t="shared" si="67"/>
        <v>7000</v>
      </c>
      <c r="AA90" s="418">
        <f t="shared" si="67"/>
        <v>0</v>
      </c>
      <c r="AB90" s="418">
        <f t="shared" si="67"/>
        <v>7000</v>
      </c>
      <c r="AC90" s="418">
        <f t="shared" si="67"/>
        <v>5000</v>
      </c>
      <c r="AD90" s="418">
        <f t="shared" si="67"/>
        <v>0</v>
      </c>
      <c r="AE90" s="418">
        <f t="shared" si="67"/>
        <v>5000</v>
      </c>
      <c r="AF90" s="418">
        <f t="shared" si="67"/>
        <v>20000</v>
      </c>
      <c r="AG90" s="418">
        <f t="shared" si="67"/>
        <v>8300</v>
      </c>
      <c r="AH90" s="418">
        <f t="shared" si="67"/>
        <v>0</v>
      </c>
      <c r="AI90" s="418">
        <f t="shared" si="67"/>
        <v>8300</v>
      </c>
      <c r="AJ90" s="418">
        <f t="shared" si="67"/>
        <v>8300</v>
      </c>
      <c r="AK90" s="418">
        <f t="shared" si="67"/>
        <v>0</v>
      </c>
      <c r="AL90" s="418">
        <f t="shared" si="67"/>
        <v>8300</v>
      </c>
      <c r="AM90" s="418">
        <f t="shared" si="67"/>
        <v>8688</v>
      </c>
      <c r="AN90" s="418">
        <f t="shared" si="67"/>
        <v>0</v>
      </c>
      <c r="AO90" s="418">
        <f t="shared" si="67"/>
        <v>8688</v>
      </c>
      <c r="AP90" s="418">
        <f t="shared" si="67"/>
        <v>25288</v>
      </c>
      <c r="AQ90" s="418">
        <f t="shared" si="67"/>
        <v>90509</v>
      </c>
      <c r="AR90" s="418">
        <f t="shared" si="67"/>
        <v>40</v>
      </c>
      <c r="AS90" s="419">
        <f t="shared" si="67"/>
        <v>90549</v>
      </c>
    </row>
    <row r="91" spans="1:45" ht="26.25">
      <c r="A91" s="11" t="s">
        <v>475</v>
      </c>
      <c r="B91" s="84" t="s">
        <v>476</v>
      </c>
      <c r="C91" s="418">
        <f>C13</f>
        <v>0</v>
      </c>
      <c r="D91" s="418">
        <f aca="true" t="shared" si="68" ref="D91:AS91">D13</f>
        <v>0</v>
      </c>
      <c r="E91" s="418">
        <f>E13</f>
        <v>0</v>
      </c>
      <c r="F91" s="418">
        <f t="shared" si="68"/>
        <v>0</v>
      </c>
      <c r="G91" s="418">
        <f t="shared" si="68"/>
        <v>0</v>
      </c>
      <c r="H91" s="418">
        <f t="shared" si="68"/>
        <v>0</v>
      </c>
      <c r="I91" s="418">
        <f>I13</f>
        <v>0</v>
      </c>
      <c r="J91" s="418">
        <f t="shared" si="68"/>
        <v>0</v>
      </c>
      <c r="K91" s="418">
        <f t="shared" si="68"/>
        <v>0</v>
      </c>
      <c r="L91" s="418">
        <f t="shared" si="68"/>
        <v>0</v>
      </c>
      <c r="M91" s="418">
        <f t="shared" si="68"/>
        <v>0</v>
      </c>
      <c r="N91" s="418">
        <f t="shared" si="68"/>
        <v>0</v>
      </c>
      <c r="O91" s="418">
        <f t="shared" si="68"/>
        <v>0</v>
      </c>
      <c r="P91" s="418">
        <f t="shared" si="68"/>
        <v>0</v>
      </c>
      <c r="Q91" s="418">
        <f t="shared" si="68"/>
        <v>0</v>
      </c>
      <c r="R91" s="418">
        <f t="shared" si="68"/>
        <v>0</v>
      </c>
      <c r="S91" s="418">
        <f t="shared" si="68"/>
        <v>0</v>
      </c>
      <c r="T91" s="418">
        <f t="shared" si="68"/>
        <v>0</v>
      </c>
      <c r="U91" s="418">
        <f t="shared" si="68"/>
        <v>0</v>
      </c>
      <c r="V91" s="418">
        <f t="shared" si="68"/>
        <v>0</v>
      </c>
      <c r="W91" s="418">
        <f t="shared" si="68"/>
        <v>0</v>
      </c>
      <c r="X91" s="418">
        <f t="shared" si="68"/>
        <v>0</v>
      </c>
      <c r="Y91" s="418">
        <f t="shared" si="68"/>
        <v>0</v>
      </c>
      <c r="Z91" s="418">
        <f t="shared" si="68"/>
        <v>0</v>
      </c>
      <c r="AA91" s="418">
        <f t="shared" si="68"/>
        <v>0</v>
      </c>
      <c r="AB91" s="418">
        <f t="shared" si="68"/>
        <v>0</v>
      </c>
      <c r="AC91" s="418">
        <f t="shared" si="68"/>
        <v>0</v>
      </c>
      <c r="AD91" s="418">
        <f t="shared" si="68"/>
        <v>0</v>
      </c>
      <c r="AE91" s="418">
        <f t="shared" si="68"/>
        <v>0</v>
      </c>
      <c r="AF91" s="418">
        <f t="shared" si="68"/>
        <v>0</v>
      </c>
      <c r="AG91" s="418">
        <f t="shared" si="68"/>
        <v>0</v>
      </c>
      <c r="AH91" s="418">
        <f t="shared" si="68"/>
        <v>0</v>
      </c>
      <c r="AI91" s="418">
        <f t="shared" si="68"/>
        <v>0</v>
      </c>
      <c r="AJ91" s="418">
        <f t="shared" si="68"/>
        <v>0</v>
      </c>
      <c r="AK91" s="418">
        <f t="shared" si="68"/>
        <v>0</v>
      </c>
      <c r="AL91" s="418">
        <f t="shared" si="68"/>
        <v>0</v>
      </c>
      <c r="AM91" s="418">
        <f t="shared" si="68"/>
        <v>0</v>
      </c>
      <c r="AN91" s="418">
        <f t="shared" si="68"/>
        <v>0</v>
      </c>
      <c r="AO91" s="418">
        <f t="shared" si="68"/>
        <v>0</v>
      </c>
      <c r="AP91" s="418">
        <f t="shared" si="68"/>
        <v>0</v>
      </c>
      <c r="AQ91" s="418">
        <f t="shared" si="68"/>
        <v>0</v>
      </c>
      <c r="AR91" s="418">
        <f t="shared" si="68"/>
        <v>0</v>
      </c>
      <c r="AS91" s="419">
        <f t="shared" si="68"/>
        <v>0</v>
      </c>
    </row>
    <row r="92" spans="2:45" ht="26.25">
      <c r="B92" s="184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6"/>
      <c r="AR92" s="186"/>
      <c r="AS92" s="186"/>
    </row>
    <row r="93" spans="1:45" ht="26.25">
      <c r="A93" s="11" t="s">
        <v>477</v>
      </c>
      <c r="B93" s="12" t="s">
        <v>478</v>
      </c>
      <c r="C93" s="419">
        <f aca="true" t="shared" si="69" ref="C93:AS93">C17</f>
        <v>0</v>
      </c>
      <c r="D93" s="419">
        <f t="shared" si="69"/>
        <v>0</v>
      </c>
      <c r="E93" s="419">
        <f t="shared" si="69"/>
        <v>0</v>
      </c>
      <c r="F93" s="419">
        <f t="shared" si="69"/>
        <v>0</v>
      </c>
      <c r="G93" s="419">
        <f t="shared" si="69"/>
        <v>0</v>
      </c>
      <c r="H93" s="419">
        <f t="shared" si="69"/>
        <v>0</v>
      </c>
      <c r="I93" s="419">
        <f t="shared" si="69"/>
        <v>0</v>
      </c>
      <c r="J93" s="419">
        <f t="shared" si="69"/>
        <v>0</v>
      </c>
      <c r="K93" s="419">
        <f t="shared" si="69"/>
        <v>0</v>
      </c>
      <c r="L93" s="419">
        <f t="shared" si="69"/>
        <v>0</v>
      </c>
      <c r="M93" s="419">
        <f t="shared" si="69"/>
        <v>0</v>
      </c>
      <c r="N93" s="419">
        <f t="shared" si="69"/>
        <v>0</v>
      </c>
      <c r="O93" s="419">
        <f t="shared" si="69"/>
        <v>0</v>
      </c>
      <c r="P93" s="419">
        <f t="shared" si="69"/>
        <v>0</v>
      </c>
      <c r="Q93" s="419">
        <f t="shared" si="69"/>
        <v>0</v>
      </c>
      <c r="R93" s="419">
        <f t="shared" si="69"/>
        <v>0</v>
      </c>
      <c r="S93" s="419">
        <f t="shared" si="69"/>
        <v>0</v>
      </c>
      <c r="T93" s="419">
        <f t="shared" si="69"/>
        <v>0</v>
      </c>
      <c r="U93" s="419">
        <f t="shared" si="69"/>
        <v>0</v>
      </c>
      <c r="V93" s="419">
        <f t="shared" si="69"/>
        <v>0</v>
      </c>
      <c r="W93" s="419">
        <f t="shared" si="69"/>
        <v>0</v>
      </c>
      <c r="X93" s="419">
        <f t="shared" si="69"/>
        <v>0</v>
      </c>
      <c r="Y93" s="419">
        <f t="shared" si="69"/>
        <v>0</v>
      </c>
      <c r="Z93" s="419">
        <f t="shared" si="69"/>
        <v>0</v>
      </c>
      <c r="AA93" s="419">
        <f t="shared" si="69"/>
        <v>0</v>
      </c>
      <c r="AB93" s="419">
        <f t="shared" si="69"/>
        <v>0</v>
      </c>
      <c r="AC93" s="419">
        <f t="shared" si="69"/>
        <v>0</v>
      </c>
      <c r="AD93" s="419">
        <f t="shared" si="69"/>
        <v>0</v>
      </c>
      <c r="AE93" s="419">
        <f t="shared" si="69"/>
        <v>0</v>
      </c>
      <c r="AF93" s="419">
        <f t="shared" si="69"/>
        <v>0</v>
      </c>
      <c r="AG93" s="419">
        <f t="shared" si="69"/>
        <v>0</v>
      </c>
      <c r="AH93" s="419">
        <f t="shared" si="69"/>
        <v>0</v>
      </c>
      <c r="AI93" s="419">
        <f t="shared" si="69"/>
        <v>0</v>
      </c>
      <c r="AJ93" s="419">
        <f t="shared" si="69"/>
        <v>0</v>
      </c>
      <c r="AK93" s="419">
        <f t="shared" si="69"/>
        <v>0</v>
      </c>
      <c r="AL93" s="419">
        <f t="shared" si="69"/>
        <v>0</v>
      </c>
      <c r="AM93" s="419">
        <f t="shared" si="69"/>
        <v>0</v>
      </c>
      <c r="AN93" s="419">
        <f t="shared" si="69"/>
        <v>0</v>
      </c>
      <c r="AO93" s="419">
        <f t="shared" si="69"/>
        <v>0</v>
      </c>
      <c r="AP93" s="419">
        <f t="shared" si="69"/>
        <v>0</v>
      </c>
      <c r="AQ93" s="419">
        <f t="shared" si="69"/>
        <v>0</v>
      </c>
      <c r="AR93" s="419">
        <f t="shared" si="69"/>
        <v>0</v>
      </c>
      <c r="AS93" s="419">
        <f t="shared" si="69"/>
        <v>0</v>
      </c>
    </row>
    <row r="94" spans="2:45" ht="26.25">
      <c r="B94" s="184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6"/>
      <c r="AR94" s="186"/>
      <c r="AS94" s="186"/>
    </row>
    <row r="95" spans="1:45" ht="26.25">
      <c r="A95" s="11" t="s">
        <v>479</v>
      </c>
      <c r="B95" s="12" t="s">
        <v>480</v>
      </c>
      <c r="C95" s="419">
        <f aca="true" t="shared" si="70" ref="C95:AS95">C91+C93+C90</f>
        <v>8821</v>
      </c>
      <c r="D95" s="419">
        <f t="shared" si="70"/>
        <v>0</v>
      </c>
      <c r="E95" s="419">
        <f t="shared" si="70"/>
        <v>8821</v>
      </c>
      <c r="F95" s="419">
        <f t="shared" si="70"/>
        <v>8400</v>
      </c>
      <c r="G95" s="419">
        <f t="shared" si="70"/>
        <v>0</v>
      </c>
      <c r="H95" s="419">
        <f t="shared" si="70"/>
        <v>8400</v>
      </c>
      <c r="I95" s="419">
        <f t="shared" si="70"/>
        <v>6000</v>
      </c>
      <c r="J95" s="419">
        <f t="shared" si="70"/>
        <v>0</v>
      </c>
      <c r="K95" s="419">
        <f t="shared" si="70"/>
        <v>6000</v>
      </c>
      <c r="L95" s="419">
        <f t="shared" si="70"/>
        <v>23221</v>
      </c>
      <c r="M95" s="419">
        <f t="shared" si="70"/>
        <v>7000</v>
      </c>
      <c r="N95" s="419">
        <f t="shared" si="70"/>
        <v>0</v>
      </c>
      <c r="O95" s="419">
        <f t="shared" si="70"/>
        <v>7000</v>
      </c>
      <c r="P95" s="419">
        <f t="shared" si="70"/>
        <v>7500</v>
      </c>
      <c r="Q95" s="419">
        <f t="shared" si="70"/>
        <v>40</v>
      </c>
      <c r="R95" s="419">
        <f t="shared" si="70"/>
        <v>7540</v>
      </c>
      <c r="S95" s="419">
        <f t="shared" si="70"/>
        <v>7500</v>
      </c>
      <c r="T95" s="419">
        <f t="shared" si="70"/>
        <v>0</v>
      </c>
      <c r="U95" s="419">
        <f t="shared" si="70"/>
        <v>7500</v>
      </c>
      <c r="V95" s="419">
        <f t="shared" si="70"/>
        <v>22040</v>
      </c>
      <c r="W95" s="419">
        <f t="shared" si="70"/>
        <v>8000</v>
      </c>
      <c r="X95" s="419">
        <f t="shared" si="70"/>
        <v>0</v>
      </c>
      <c r="Y95" s="419">
        <f t="shared" si="70"/>
        <v>8000</v>
      </c>
      <c r="Z95" s="419">
        <f t="shared" si="70"/>
        <v>7000</v>
      </c>
      <c r="AA95" s="419">
        <f t="shared" si="70"/>
        <v>0</v>
      </c>
      <c r="AB95" s="419">
        <f t="shared" si="70"/>
        <v>7000</v>
      </c>
      <c r="AC95" s="419">
        <f t="shared" si="70"/>
        <v>5000</v>
      </c>
      <c r="AD95" s="419">
        <f t="shared" si="70"/>
        <v>0</v>
      </c>
      <c r="AE95" s="419">
        <f t="shared" si="70"/>
        <v>5000</v>
      </c>
      <c r="AF95" s="419">
        <f t="shared" si="70"/>
        <v>20000</v>
      </c>
      <c r="AG95" s="419">
        <f t="shared" si="70"/>
        <v>8300</v>
      </c>
      <c r="AH95" s="419">
        <f t="shared" si="70"/>
        <v>0</v>
      </c>
      <c r="AI95" s="419">
        <f t="shared" si="70"/>
        <v>8300</v>
      </c>
      <c r="AJ95" s="419">
        <f t="shared" si="70"/>
        <v>8300</v>
      </c>
      <c r="AK95" s="419">
        <f t="shared" si="70"/>
        <v>0</v>
      </c>
      <c r="AL95" s="419">
        <f t="shared" si="70"/>
        <v>8300</v>
      </c>
      <c r="AM95" s="419">
        <f t="shared" si="70"/>
        <v>8688</v>
      </c>
      <c r="AN95" s="419">
        <f t="shared" si="70"/>
        <v>0</v>
      </c>
      <c r="AO95" s="419">
        <f t="shared" si="70"/>
        <v>8688</v>
      </c>
      <c r="AP95" s="419">
        <f t="shared" si="70"/>
        <v>25288</v>
      </c>
      <c r="AQ95" s="419">
        <f t="shared" si="70"/>
        <v>90509</v>
      </c>
      <c r="AR95" s="419">
        <f t="shared" si="70"/>
        <v>40</v>
      </c>
      <c r="AS95" s="419">
        <f t="shared" si="70"/>
        <v>90549</v>
      </c>
    </row>
  </sheetData>
  <sheetProtection password="A01C" sheet="1"/>
  <mergeCells count="24">
    <mergeCell ref="AM7:AO7"/>
    <mergeCell ref="AF7:AF8"/>
    <mergeCell ref="P7:R7"/>
    <mergeCell ref="S7:U7"/>
    <mergeCell ref="AP7:AP8"/>
    <mergeCell ref="AR6:AR8"/>
    <mergeCell ref="AS6:AS8"/>
    <mergeCell ref="W6:AF6"/>
    <mergeCell ref="AG6:AP6"/>
    <mergeCell ref="W7:Y7"/>
    <mergeCell ref="Z7:AB7"/>
    <mergeCell ref="AQ6:AQ8"/>
    <mergeCell ref="AG7:AI7"/>
    <mergeCell ref="AJ7:AL7"/>
    <mergeCell ref="C6:L6"/>
    <mergeCell ref="AC7:AE7"/>
    <mergeCell ref="B7:B8"/>
    <mergeCell ref="C7:E7"/>
    <mergeCell ref="F7:H7"/>
    <mergeCell ref="I7:K7"/>
    <mergeCell ref="L7:L8"/>
    <mergeCell ref="V7:V8"/>
    <mergeCell ref="M6:V6"/>
    <mergeCell ref="M7:O7"/>
  </mergeCells>
  <printOptions/>
  <pageMargins left="0.2362204724409449" right="0.1968503937007874" top="0.35433070866141736" bottom="0.35433070866141736" header="0.15748031496062992" footer="0.1968503937007874"/>
  <pageSetup fitToWidth="11" fitToHeight="1" horizontalDpi="600" verticalDpi="600" orientation="landscape" paperSize="8" scale="29" r:id="rId1"/>
  <headerFooter>
    <oddHeader>&amp;L&amp;14&amp;K000000Piano di cassa dei flussi prospettici&amp;R&amp;14&amp;D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3"/>
  <sheetViews>
    <sheetView showGridLines="0" zoomScale="50" zoomScaleNormal="50" zoomScalePageLayoutView="0" workbookViewId="0" topLeftCell="B4">
      <selection activeCell="H25" sqref="H25"/>
    </sheetView>
  </sheetViews>
  <sheetFormatPr defaultColWidth="9.140625" defaultRowHeight="15"/>
  <cols>
    <col min="1" max="1" width="10.7109375" style="49" hidden="1" customWidth="1"/>
    <col min="2" max="2" width="99.8515625" style="49" customWidth="1"/>
    <col min="3" max="6" width="40.7109375" style="49" customWidth="1"/>
    <col min="7" max="7" width="17.7109375" style="49" customWidth="1"/>
    <col min="8" max="8" width="12.140625" style="391" customWidth="1"/>
    <col min="9" max="9" width="20.7109375" style="49" hidden="1" customWidth="1"/>
    <col min="10" max="10" width="24.7109375" style="391" customWidth="1"/>
    <col min="11" max="11" width="30.00390625" style="49" customWidth="1"/>
    <col min="12" max="12" width="32.8515625" style="49" customWidth="1"/>
    <col min="13" max="13" width="30.00390625" style="49" customWidth="1"/>
    <col min="14" max="14" width="31.7109375" style="49" customWidth="1"/>
    <col min="15" max="15" width="25.140625" style="49" customWidth="1"/>
    <col min="16" max="16" width="30.00390625" style="49" customWidth="1"/>
    <col min="17" max="17" width="36.28125" style="49" customWidth="1"/>
    <col min="18" max="18" width="30.00390625" style="49" customWidth="1"/>
    <col min="19" max="19" width="32.7109375" style="49" customWidth="1"/>
    <col min="20" max="16384" width="9.140625" style="49" customWidth="1"/>
  </cols>
  <sheetData>
    <row r="1" spans="16:19" ht="15">
      <c r="P1" s="383">
        <v>0</v>
      </c>
      <c r="Q1" s="383">
        <v>0</v>
      </c>
      <c r="R1" s="383">
        <v>0</v>
      </c>
      <c r="S1" s="384">
        <v>0</v>
      </c>
    </row>
    <row r="2" spans="2:19" ht="18.75">
      <c r="B2" s="130" t="s">
        <v>307</v>
      </c>
      <c r="C2" s="131" t="s">
        <v>308</v>
      </c>
      <c r="P2" s="383">
        <v>0</v>
      </c>
      <c r="Q2" s="383">
        <v>0</v>
      </c>
      <c r="R2" s="383">
        <v>0</v>
      </c>
      <c r="S2" s="384">
        <v>0</v>
      </c>
    </row>
    <row r="3" spans="2:19" ht="26.25">
      <c r="B3" s="132" t="str">
        <f>Info!$C$2</f>
        <v>ASST SANTI PAOLO E CARLO</v>
      </c>
      <c r="C3" s="132" t="str">
        <f>Info!$B$2</f>
        <v>702</v>
      </c>
      <c r="P3" s="383">
        <v>0</v>
      </c>
      <c r="Q3" s="383">
        <v>0</v>
      </c>
      <c r="R3" s="383">
        <v>0</v>
      </c>
      <c r="S3" s="384">
        <v>0</v>
      </c>
    </row>
    <row r="4" spans="16:19" ht="15">
      <c r="P4" s="383">
        <v>0</v>
      </c>
      <c r="Q4" s="383">
        <v>0</v>
      </c>
      <c r="R4" s="383">
        <v>0</v>
      </c>
      <c r="S4" s="384">
        <v>0</v>
      </c>
    </row>
    <row r="5" spans="2:43" s="53" customFormat="1" ht="26.25" customHeight="1">
      <c r="B5" s="132" t="s">
        <v>481</v>
      </c>
      <c r="C5" s="55"/>
      <c r="D5" s="55"/>
      <c r="E5" s="55"/>
      <c r="F5" s="55"/>
      <c r="G5" s="55"/>
      <c r="H5" s="392"/>
      <c r="I5" s="55"/>
      <c r="J5" s="392"/>
      <c r="K5" s="459" t="s">
        <v>482</v>
      </c>
      <c r="L5" s="460"/>
      <c r="M5" s="460"/>
      <c r="N5" s="460"/>
      <c r="O5" s="460"/>
      <c r="P5" s="460"/>
      <c r="Q5" s="460"/>
      <c r="R5" s="460"/>
      <c r="S5" s="460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16:19" ht="15">
      <c r="P6" s="383">
        <v>0</v>
      </c>
      <c r="Q6" s="383">
        <v>0</v>
      </c>
      <c r="R6" s="383">
        <v>0</v>
      </c>
      <c r="S6" s="384">
        <v>0</v>
      </c>
    </row>
    <row r="7" spans="2:19" ht="26.25">
      <c r="B7" s="56" t="s">
        <v>483</v>
      </c>
      <c r="P7" s="383">
        <v>0</v>
      </c>
      <c r="Q7" s="383">
        <v>0</v>
      </c>
      <c r="R7" s="383">
        <v>0</v>
      </c>
      <c r="S7" s="384">
        <v>0</v>
      </c>
    </row>
    <row r="8" spans="16:19" ht="15.75" thickBot="1">
      <c r="P8" s="383"/>
      <c r="Q8" s="383"/>
      <c r="R8" s="383"/>
      <c r="S8" s="383"/>
    </row>
    <row r="9" spans="2:19" s="57" customFormat="1" ht="87.75" customHeight="1">
      <c r="B9" s="58" t="s">
        <v>484</v>
      </c>
      <c r="C9" s="347" t="s">
        <v>485</v>
      </c>
      <c r="D9" s="348" t="s">
        <v>486</v>
      </c>
      <c r="E9" s="349" t="s">
        <v>487</v>
      </c>
      <c r="F9" s="350" t="s">
        <v>488</v>
      </c>
      <c r="G9" s="351" t="s">
        <v>489</v>
      </c>
      <c r="H9" s="393"/>
      <c r="I9" s="61" t="s">
        <v>490</v>
      </c>
      <c r="J9" s="397"/>
      <c r="K9" s="62" t="s">
        <v>491</v>
      </c>
      <c r="L9" s="59" t="s">
        <v>492</v>
      </c>
      <c r="M9" s="59" t="s">
        <v>493</v>
      </c>
      <c r="N9" s="60" t="s">
        <v>494</v>
      </c>
      <c r="P9" s="383">
        <v>0</v>
      </c>
      <c r="Q9" s="383">
        <v>0</v>
      </c>
      <c r="R9" s="383">
        <v>0</v>
      </c>
      <c r="S9" s="384">
        <v>0</v>
      </c>
    </row>
    <row r="10" spans="1:19" ht="27.75" customHeight="1">
      <c r="A10" s="49" t="s">
        <v>495</v>
      </c>
      <c r="B10" s="219" t="s">
        <v>496</v>
      </c>
      <c r="C10" s="352">
        <f>39328-265</f>
        <v>39063</v>
      </c>
      <c r="D10" s="353">
        <f>11217+5833</f>
        <v>17050</v>
      </c>
      <c r="E10" s="220">
        <v>209</v>
      </c>
      <c r="F10" s="354">
        <v>1554</v>
      </c>
      <c r="G10" s="371">
        <f>C10-D10-E10-F10</f>
        <v>20250</v>
      </c>
      <c r="I10" s="247"/>
      <c r="J10" s="398"/>
      <c r="K10" s="230">
        <f>C10</f>
        <v>39063</v>
      </c>
      <c r="L10" s="251"/>
      <c r="M10" s="220">
        <v>17050</v>
      </c>
      <c r="N10" s="221">
        <f>K10-L10-M10</f>
        <v>22013</v>
      </c>
      <c r="P10" s="383">
        <v>0</v>
      </c>
      <c r="Q10" s="383">
        <v>0</v>
      </c>
      <c r="R10" s="383">
        <v>0</v>
      </c>
      <c r="S10" s="384">
        <v>0</v>
      </c>
    </row>
    <row r="11" spans="1:19" ht="26.25">
      <c r="A11" s="49" t="s">
        <v>497</v>
      </c>
      <c r="B11" s="222" t="s">
        <v>498</v>
      </c>
      <c r="C11" s="355">
        <v>124537</v>
      </c>
      <c r="D11" s="356">
        <v>55863</v>
      </c>
      <c r="E11" s="223">
        <v>835</v>
      </c>
      <c r="F11" s="357">
        <v>6217</v>
      </c>
      <c r="G11" s="370">
        <f>C11-D11-E11-F11</f>
        <v>61622</v>
      </c>
      <c r="I11" s="226"/>
      <c r="J11" s="399"/>
      <c r="K11" s="231">
        <f>C11</f>
        <v>124537</v>
      </c>
      <c r="L11" s="143">
        <v>55863</v>
      </c>
      <c r="M11" s="368">
        <v>0</v>
      </c>
      <c r="N11" s="224">
        <f>K11-L11-M11</f>
        <v>68674</v>
      </c>
      <c r="P11" s="383">
        <v>0</v>
      </c>
      <c r="Q11" s="383">
        <v>0</v>
      </c>
      <c r="R11" s="383">
        <v>0</v>
      </c>
      <c r="S11" s="384">
        <v>0</v>
      </c>
    </row>
    <row r="12" spans="1:19" ht="26.25">
      <c r="A12" s="49" t="s">
        <v>499</v>
      </c>
      <c r="B12" s="63" t="s">
        <v>500</v>
      </c>
      <c r="C12" s="358">
        <f>SUM(C10:C11)</f>
        <v>163600</v>
      </c>
      <c r="D12" s="359">
        <f>SUM(D10:D11)</f>
        <v>72913</v>
      </c>
      <c r="E12" s="64">
        <f>SUM(E10:E11)</f>
        <v>1044</v>
      </c>
      <c r="F12" s="360">
        <f>SUM(F10:F11)</f>
        <v>7771</v>
      </c>
      <c r="G12" s="361">
        <f>C12-D12-E12-F12</f>
        <v>81872</v>
      </c>
      <c r="I12" s="248"/>
      <c r="J12" s="400" t="str">
        <f>IF(ROUND($K$12+$K$25,0)=ROUND('Assegnazione da Regione sk1'!$E$24,0),"OK","ERRORE COD. 2")</f>
        <v>OK</v>
      </c>
      <c r="K12" s="64">
        <f>SUM(K10:K11)</f>
        <v>163600</v>
      </c>
      <c r="L12" s="64">
        <f>SUM(L10:L11)</f>
        <v>55863</v>
      </c>
      <c r="M12" s="64">
        <f>SUM(M10:M11)</f>
        <v>17050</v>
      </c>
      <c r="N12" s="64">
        <f>SUM(N10:N11)</f>
        <v>90687</v>
      </c>
      <c r="P12" s="383">
        <v>0</v>
      </c>
      <c r="Q12" s="383">
        <v>0</v>
      </c>
      <c r="R12" s="383">
        <v>0</v>
      </c>
      <c r="S12" s="384">
        <v>0</v>
      </c>
    </row>
    <row r="13" spans="1:19" ht="26.25">
      <c r="A13" s="49" t="s">
        <v>501</v>
      </c>
      <c r="B13" s="225" t="s">
        <v>502</v>
      </c>
      <c r="C13" s="362">
        <v>5112</v>
      </c>
      <c r="D13" s="369"/>
      <c r="E13" s="373"/>
      <c r="F13" s="374"/>
      <c r="G13" s="369"/>
      <c r="I13" s="245"/>
      <c r="J13" s="394"/>
      <c r="K13" s="251"/>
      <c r="L13" s="251"/>
      <c r="M13" s="221">
        <f>C13</f>
        <v>5112</v>
      </c>
      <c r="N13" s="251"/>
      <c r="O13" s="66"/>
      <c r="P13" s="385"/>
      <c r="Q13" s="385"/>
      <c r="R13" s="383"/>
      <c r="S13" s="383"/>
    </row>
    <row r="14" spans="1:19" ht="27" thickBot="1">
      <c r="A14" s="49" t="s">
        <v>503</v>
      </c>
      <c r="B14" s="227" t="s">
        <v>504</v>
      </c>
      <c r="C14" s="363">
        <v>16190</v>
      </c>
      <c r="D14" s="375"/>
      <c r="E14" s="376"/>
      <c r="F14" s="377"/>
      <c r="G14" s="372"/>
      <c r="I14" s="246"/>
      <c r="J14" s="394"/>
      <c r="K14" s="364"/>
      <c r="L14" s="364"/>
      <c r="M14" s="244">
        <f>C14</f>
        <v>16190</v>
      </c>
      <c r="N14" s="364"/>
      <c r="O14" s="66"/>
      <c r="P14" s="383">
        <v>0</v>
      </c>
      <c r="Q14" s="383">
        <v>0</v>
      </c>
      <c r="R14" s="383">
        <v>0</v>
      </c>
      <c r="S14" s="384">
        <v>0</v>
      </c>
    </row>
    <row r="15" spans="2:19" ht="26.25">
      <c r="B15" s="66"/>
      <c r="C15" s="66"/>
      <c r="D15" s="66"/>
      <c r="E15" s="66"/>
      <c r="F15" s="66"/>
      <c r="G15" s="66"/>
      <c r="H15" s="394"/>
      <c r="I15" s="66"/>
      <c r="J15" s="394"/>
      <c r="K15" s="66"/>
      <c r="L15" s="66"/>
      <c r="M15" s="66"/>
      <c r="N15" s="66"/>
      <c r="O15" s="66"/>
      <c r="P15" s="383">
        <v>0</v>
      </c>
      <c r="Q15" s="383">
        <v>0</v>
      </c>
      <c r="R15" s="383">
        <v>0</v>
      </c>
      <c r="S15" s="384">
        <v>0</v>
      </c>
    </row>
    <row r="16" spans="2:19" ht="26.25">
      <c r="B16" s="56" t="s">
        <v>505</v>
      </c>
      <c r="P16" s="383">
        <v>0</v>
      </c>
      <c r="Q16" s="383">
        <v>0</v>
      </c>
      <c r="R16" s="383">
        <v>0</v>
      </c>
      <c r="S16" s="384">
        <v>0</v>
      </c>
    </row>
    <row r="17" spans="16:19" ht="15.75" thickBot="1">
      <c r="P17" s="386"/>
      <c r="Q17" s="386"/>
      <c r="R17" s="386"/>
      <c r="S17" s="386"/>
    </row>
    <row r="18" spans="2:24" s="57" customFormat="1" ht="81" customHeight="1">
      <c r="B18" s="58" t="s">
        <v>506</v>
      </c>
      <c r="C18" s="347" t="s">
        <v>485</v>
      </c>
      <c r="D18" s="348" t="s">
        <v>486</v>
      </c>
      <c r="E18" s="349" t="s">
        <v>487</v>
      </c>
      <c r="F18" s="350" t="s">
        <v>488</v>
      </c>
      <c r="G18" s="351" t="s">
        <v>489</v>
      </c>
      <c r="H18" s="393"/>
      <c r="I18" s="61" t="s">
        <v>490</v>
      </c>
      <c r="J18" s="396"/>
      <c r="K18" s="62" t="s">
        <v>507</v>
      </c>
      <c r="L18" s="59" t="s">
        <v>492</v>
      </c>
      <c r="M18" s="59" t="s">
        <v>493</v>
      </c>
      <c r="N18" s="60" t="s">
        <v>494</v>
      </c>
      <c r="P18" s="387" t="s">
        <v>508</v>
      </c>
      <c r="Q18" s="388" t="s">
        <v>509</v>
      </c>
      <c r="R18" s="388" t="s">
        <v>493</v>
      </c>
      <c r="S18" s="389" t="s">
        <v>510</v>
      </c>
      <c r="U18" s="49"/>
      <c r="V18" s="49"/>
      <c r="W18" s="49"/>
      <c r="X18" s="49"/>
    </row>
    <row r="19" spans="1:19" ht="36.75" customHeight="1">
      <c r="A19" s="49" t="s">
        <v>511</v>
      </c>
      <c r="B19" s="219" t="s">
        <v>496</v>
      </c>
      <c r="C19" s="352">
        <v>0</v>
      </c>
      <c r="D19" s="353">
        <v>0</v>
      </c>
      <c r="E19" s="220">
        <v>0</v>
      </c>
      <c r="F19" s="354">
        <v>0</v>
      </c>
      <c r="G19" s="371">
        <f>C19-D19-E19-F19</f>
        <v>0</v>
      </c>
      <c r="I19" s="247"/>
      <c r="J19" s="399"/>
      <c r="K19" s="220">
        <v>0</v>
      </c>
      <c r="L19" s="251"/>
      <c r="M19" s="220">
        <v>0</v>
      </c>
      <c r="N19" s="221">
        <f>K19-L19-M19</f>
        <v>0</v>
      </c>
      <c r="P19" s="220">
        <v>0</v>
      </c>
      <c r="Q19" s="251"/>
      <c r="R19" s="220">
        <v>0</v>
      </c>
      <c r="S19" s="221">
        <f>P19-Q19-R19</f>
        <v>0</v>
      </c>
    </row>
    <row r="20" spans="1:19" ht="26.25">
      <c r="A20" s="49" t="s">
        <v>512</v>
      </c>
      <c r="B20" s="222" t="s">
        <v>498</v>
      </c>
      <c r="C20" s="355">
        <v>0</v>
      </c>
      <c r="D20" s="356">
        <v>0</v>
      </c>
      <c r="E20" s="223">
        <v>0</v>
      </c>
      <c r="F20" s="357">
        <v>0</v>
      </c>
      <c r="G20" s="370">
        <f>C20-D20-E20-F20</f>
        <v>0</v>
      </c>
      <c r="I20" s="239"/>
      <c r="J20" s="400" t="str">
        <f>IF($K$20=ROUND('Assegnazione da Regione sk1'!$F$46,0),"OK","ERRORE COD. 3")</f>
        <v>OK</v>
      </c>
      <c r="K20" s="390">
        <v>0</v>
      </c>
      <c r="L20" s="379">
        <v>0</v>
      </c>
      <c r="M20" s="368">
        <v>0</v>
      </c>
      <c r="N20" s="224">
        <f>K20-L20-M20</f>
        <v>0</v>
      </c>
      <c r="P20" s="378">
        <v>0</v>
      </c>
      <c r="Q20" s="379">
        <v>0</v>
      </c>
      <c r="R20" s="368">
        <v>0</v>
      </c>
      <c r="S20" s="224">
        <f>P20-Q20-R20</f>
        <v>0</v>
      </c>
    </row>
    <row r="21" spans="1:19" ht="26.25">
      <c r="A21" s="49" t="s">
        <v>513</v>
      </c>
      <c r="B21" s="63" t="s">
        <v>514</v>
      </c>
      <c r="C21" s="358">
        <f>SUM(C19:C20)</f>
        <v>0</v>
      </c>
      <c r="D21" s="359">
        <f>SUM(D19:D20)</f>
        <v>0</v>
      </c>
      <c r="E21" s="64">
        <f>SUM(E19:E20)</f>
        <v>0</v>
      </c>
      <c r="F21" s="360">
        <f>SUM(F19:F20)</f>
        <v>0</v>
      </c>
      <c r="G21" s="361">
        <f>SUM(G19:G20)</f>
        <v>0</v>
      </c>
      <c r="I21" s="65"/>
      <c r="J21" s="398"/>
      <c r="K21" s="64">
        <f>SUM(K19:K20)</f>
        <v>0</v>
      </c>
      <c r="L21" s="64">
        <f>SUM(L19:L20)</f>
        <v>0</v>
      </c>
      <c r="M21" s="64">
        <f>SUM(M19:M20)</f>
        <v>0</v>
      </c>
      <c r="N21" s="64">
        <f>SUM(N19:N20)</f>
        <v>0</v>
      </c>
      <c r="P21" s="64">
        <f>SUM(P19:P20)</f>
        <v>0</v>
      </c>
      <c r="Q21" s="64">
        <f>SUM(Q19:Q20)</f>
        <v>0</v>
      </c>
      <c r="R21" s="64">
        <f>SUM(R19:R20)</f>
        <v>0</v>
      </c>
      <c r="S21" s="64">
        <f>SUM(S19:S20)</f>
        <v>0</v>
      </c>
    </row>
    <row r="22" spans="1:19" ht="26.25">
      <c r="A22" s="49" t="s">
        <v>515</v>
      </c>
      <c r="B22" s="225" t="s">
        <v>502</v>
      </c>
      <c r="C22" s="362">
        <v>0</v>
      </c>
      <c r="D22" s="369"/>
      <c r="E22" s="373"/>
      <c r="F22" s="374"/>
      <c r="G22" s="369"/>
      <c r="I22" s="245"/>
      <c r="K22" s="251"/>
      <c r="L22" s="251"/>
      <c r="M22" s="220">
        <v>0</v>
      </c>
      <c r="N22" s="251"/>
      <c r="P22" s="251"/>
      <c r="Q22" s="251"/>
      <c r="R22" s="220">
        <v>0</v>
      </c>
      <c r="S22" s="251"/>
    </row>
    <row r="23" spans="1:19" ht="27" thickBot="1">
      <c r="A23" s="49" t="s">
        <v>516</v>
      </c>
      <c r="B23" s="227" t="s">
        <v>504</v>
      </c>
      <c r="C23" s="363">
        <v>0</v>
      </c>
      <c r="D23" s="375"/>
      <c r="E23" s="376"/>
      <c r="F23" s="377"/>
      <c r="G23" s="372"/>
      <c r="I23" s="246"/>
      <c r="K23" s="364"/>
      <c r="L23" s="364"/>
      <c r="M23" s="380">
        <v>0</v>
      </c>
      <c r="N23" s="364"/>
      <c r="P23" s="364"/>
      <c r="Q23" s="364"/>
      <c r="R23" s="380">
        <v>0</v>
      </c>
      <c r="S23" s="364"/>
    </row>
    <row r="24" spans="2:17" ht="26.25">
      <c r="B24" s="66"/>
      <c r="C24" s="66"/>
      <c r="D24" s="66"/>
      <c r="E24" s="66"/>
      <c r="F24" s="66"/>
      <c r="G24" s="66"/>
      <c r="H24" s="394"/>
      <c r="I24" s="66"/>
      <c r="J24" s="394"/>
      <c r="K24" s="66"/>
      <c r="L24" s="66"/>
      <c r="M24" s="66"/>
      <c r="N24" s="66"/>
      <c r="O24" s="66"/>
      <c r="P24" s="66"/>
      <c r="Q24" s="66"/>
    </row>
    <row r="25" spans="1:19" ht="26.25">
      <c r="A25" s="49" t="s">
        <v>517</v>
      </c>
      <c r="B25" s="243" t="s">
        <v>518</v>
      </c>
      <c r="C25" s="381">
        <f>K25</f>
        <v>90874</v>
      </c>
      <c r="D25" s="242"/>
      <c r="E25" s="382"/>
      <c r="F25" s="382"/>
      <c r="G25" s="242"/>
      <c r="I25" s="249"/>
      <c r="J25" s="391" t="str">
        <f>IF($K$12+$K$25='Assegnazione da Regione sk1'!$E$24,"OK","Squadratura")</f>
        <v>Squadratura</v>
      </c>
      <c r="K25" s="250">
        <v>90874</v>
      </c>
      <c r="L25" s="242"/>
      <c r="M25" s="250">
        <v>0</v>
      </c>
      <c r="N25" s="365">
        <f>K25-M25</f>
        <v>90874</v>
      </c>
      <c r="O25" s="66"/>
      <c r="P25" s="405">
        <v>0</v>
      </c>
      <c r="Q25" s="382"/>
      <c r="R25" s="405">
        <v>0</v>
      </c>
      <c r="S25" s="381">
        <f>P25-R25</f>
        <v>0</v>
      </c>
    </row>
    <row r="26" spans="1:19" ht="26.25">
      <c r="A26" s="49" t="s">
        <v>519</v>
      </c>
      <c r="B26" s="240" t="s">
        <v>520</v>
      </c>
      <c r="C26" s="85">
        <f>C12+C25+C21</f>
        <v>254474</v>
      </c>
      <c r="D26" s="366"/>
      <c r="E26" s="366"/>
      <c r="F26" s="366"/>
      <c r="G26" s="366"/>
      <c r="I26" s="241"/>
      <c r="K26" s="85">
        <f>K12+K25+K21</f>
        <v>254474</v>
      </c>
      <c r="L26" s="85">
        <f>L12+L21</f>
        <v>55863</v>
      </c>
      <c r="M26" s="85">
        <f>M12+M25+M21</f>
        <v>17050</v>
      </c>
      <c r="N26" s="85">
        <f>K26-L26-M26</f>
        <v>181561</v>
      </c>
      <c r="O26" s="66"/>
      <c r="P26" s="85">
        <f>P21+P25</f>
        <v>0</v>
      </c>
      <c r="Q26" s="85">
        <f>Q21</f>
        <v>0</v>
      </c>
      <c r="R26" s="85">
        <f>R21+R25</f>
        <v>0</v>
      </c>
      <c r="S26" s="85">
        <f>S21+S25</f>
        <v>0</v>
      </c>
    </row>
    <row r="27" spans="2:17" ht="26.25">
      <c r="B27" s="66"/>
      <c r="C27" s="66"/>
      <c r="D27" s="66"/>
      <c r="E27" s="66"/>
      <c r="F27" s="66"/>
      <c r="G27" s="66"/>
      <c r="H27" s="394"/>
      <c r="I27" s="66"/>
      <c r="J27" s="394"/>
      <c r="K27" s="66"/>
      <c r="L27" s="66"/>
      <c r="M27" s="66"/>
      <c r="N27" s="66"/>
      <c r="O27" s="66"/>
      <c r="P27" s="66"/>
      <c r="Q27" s="66"/>
    </row>
    <row r="28" spans="2:17" ht="26.25">
      <c r="B28" s="66"/>
      <c r="C28" s="66"/>
      <c r="D28" s="66"/>
      <c r="E28" s="367"/>
      <c r="F28" s="66"/>
      <c r="G28" s="66"/>
      <c r="H28" s="394"/>
      <c r="I28" s="66"/>
      <c r="J28" s="394"/>
      <c r="K28" s="66"/>
      <c r="L28" s="66"/>
      <c r="M28" s="367"/>
      <c r="N28" s="66"/>
      <c r="O28" s="66"/>
      <c r="P28" s="66"/>
      <c r="Q28" s="66"/>
    </row>
    <row r="30" spans="2:19" ht="80.25" customHeight="1">
      <c r="B30" s="461" t="s">
        <v>521</v>
      </c>
      <c r="C30" s="252" t="s">
        <v>522</v>
      </c>
      <c r="D30" s="252" t="s">
        <v>523</v>
      </c>
      <c r="E30" s="252" t="s">
        <v>524</v>
      </c>
      <c r="F30" s="252" t="s">
        <v>525</v>
      </c>
      <c r="G30" s="351" t="s">
        <v>489</v>
      </c>
      <c r="H30" s="399"/>
      <c r="K30" s="252" t="s">
        <v>526</v>
      </c>
      <c r="L30" s="252" t="s">
        <v>527</v>
      </c>
      <c r="M30" s="252" t="s">
        <v>528</v>
      </c>
      <c r="N30" s="252" t="s">
        <v>510</v>
      </c>
      <c r="P30" s="252" t="s">
        <v>529</v>
      </c>
      <c r="Q30" s="252" t="s">
        <v>530</v>
      </c>
      <c r="R30" s="252" t="s">
        <v>528</v>
      </c>
      <c r="S30" s="252" t="s">
        <v>510</v>
      </c>
    </row>
    <row r="31" spans="1:19" ht="27.75" customHeight="1">
      <c r="A31" s="253" t="s">
        <v>531</v>
      </c>
      <c r="B31" s="462"/>
      <c r="C31" s="218">
        <f>+C12+C21+C25</f>
        <v>254474</v>
      </c>
      <c r="D31" s="218">
        <f>+D12+D21</f>
        <v>72913</v>
      </c>
      <c r="E31" s="218">
        <f>+E12+E21</f>
        <v>1044</v>
      </c>
      <c r="F31" s="218">
        <f>F12+F21</f>
        <v>7771</v>
      </c>
      <c r="G31" s="218">
        <f>C31-D31-E31-F31</f>
        <v>172746</v>
      </c>
      <c r="K31" s="218">
        <f>K12+K21+K25</f>
        <v>254474</v>
      </c>
      <c r="L31" s="218">
        <f>+L12+L21</f>
        <v>55863</v>
      </c>
      <c r="M31" s="218">
        <f>M12+M21+M25</f>
        <v>17050</v>
      </c>
      <c r="N31" s="218">
        <f>+N12+N21+N25</f>
        <v>181561</v>
      </c>
      <c r="O31" s="400" t="str">
        <f>IF($P$31=ROUND('Assegnazione da Regione sk1'!$F$9,0),"OK","ERRORE COD. 1")</f>
        <v>OK</v>
      </c>
      <c r="P31" s="218">
        <f>+P21+P25</f>
        <v>0</v>
      </c>
      <c r="Q31" s="218">
        <f>+Q21</f>
        <v>0</v>
      </c>
      <c r="R31" s="218">
        <f>+R21+R25</f>
        <v>0</v>
      </c>
      <c r="S31" s="218">
        <f>+S21+S25</f>
        <v>0</v>
      </c>
    </row>
    <row r="34" spans="2:14" s="57" customFormat="1" ht="59.25" customHeight="1">
      <c r="B34" s="67" t="s">
        <v>532</v>
      </c>
      <c r="C34" s="59" t="str">
        <f>"all'1.1."&amp;Info!$B$3</f>
        <v>all'1.1.2016</v>
      </c>
      <c r="D34" s="59" t="s">
        <v>533</v>
      </c>
      <c r="E34" s="59" t="s">
        <v>534</v>
      </c>
      <c r="F34" s="59" t="s">
        <v>488</v>
      </c>
      <c r="G34" s="60" t="s">
        <v>535</v>
      </c>
      <c r="H34" s="391"/>
      <c r="I34" s="61" t="s">
        <v>490</v>
      </c>
      <c r="J34" s="393"/>
      <c r="K34" s="59" t="s">
        <v>536</v>
      </c>
      <c r="L34" s="59" t="s">
        <v>537</v>
      </c>
      <c r="M34" s="59" t="s">
        <v>538</v>
      </c>
      <c r="N34" s="60" t="s">
        <v>535</v>
      </c>
    </row>
    <row r="35" spans="1:14" ht="24.75" customHeight="1">
      <c r="A35" s="49" t="s">
        <v>539</v>
      </c>
      <c r="B35" s="219" t="s">
        <v>540</v>
      </c>
      <c r="C35" s="220">
        <v>11294</v>
      </c>
      <c r="D35" s="164">
        <f>5392+2268</f>
        <v>7660</v>
      </c>
      <c r="E35" s="220">
        <v>883</v>
      </c>
      <c r="F35" s="220">
        <v>776</v>
      </c>
      <c r="G35" s="221">
        <f>C35-D35-E35-F35</f>
        <v>1975</v>
      </c>
      <c r="I35" s="247"/>
      <c r="K35" s="220">
        <v>11294</v>
      </c>
      <c r="L35" s="164">
        <v>0</v>
      </c>
      <c r="M35" s="220">
        <v>144</v>
      </c>
      <c r="N35" s="221">
        <f>K35-L35-M35</f>
        <v>11150</v>
      </c>
    </row>
    <row r="36" spans="1:14" ht="26.25">
      <c r="A36" s="49" t="s">
        <v>541</v>
      </c>
      <c r="B36" s="222" t="s">
        <v>542</v>
      </c>
      <c r="C36" s="223">
        <v>42546</v>
      </c>
      <c r="D36" s="143">
        <v>29894</v>
      </c>
      <c r="E36" s="223">
        <v>2410</v>
      </c>
      <c r="F36" s="223">
        <v>4073</v>
      </c>
      <c r="G36" s="224">
        <f>C36-D36-E36-F36</f>
        <v>6169</v>
      </c>
      <c r="I36" s="226"/>
      <c r="K36" s="223">
        <v>42546</v>
      </c>
      <c r="L36" s="143">
        <v>29894</v>
      </c>
      <c r="M36" s="223">
        <v>0</v>
      </c>
      <c r="N36" s="224">
        <f>K36-L36-M36</f>
        <v>12652</v>
      </c>
    </row>
    <row r="37" spans="1:14" ht="26.25">
      <c r="A37" s="49" t="s">
        <v>543</v>
      </c>
      <c r="B37" s="254" t="s">
        <v>544</v>
      </c>
      <c r="C37" s="255">
        <f>SUM(C35:C36)</f>
        <v>53840</v>
      </c>
      <c r="D37" s="255">
        <f>SUM(D35:D36)</f>
        <v>37554</v>
      </c>
      <c r="E37" s="255">
        <f>SUM(E35:E36)</f>
        <v>3293</v>
      </c>
      <c r="F37" s="255"/>
      <c r="G37" s="255">
        <f>SUM(G35:G36)</f>
        <v>8144</v>
      </c>
      <c r="I37" s="248"/>
      <c r="K37" s="255">
        <f>SUM(K35:K36)</f>
        <v>53840</v>
      </c>
      <c r="L37" s="255">
        <f>SUM(L35:L36)</f>
        <v>29894</v>
      </c>
      <c r="M37" s="255">
        <f>SUM(M35:M36)</f>
        <v>144</v>
      </c>
      <c r="N37" s="255">
        <f>SUM(N35:N36)</f>
        <v>23802</v>
      </c>
    </row>
    <row r="38" ht="18.75">
      <c r="I38" s="57"/>
    </row>
    <row r="40" spans="2:10" s="57" customFormat="1" ht="56.25">
      <c r="B40" s="67" t="s">
        <v>545</v>
      </c>
      <c r="C40" s="59" t="s">
        <v>546</v>
      </c>
      <c r="D40" s="59" t="s">
        <v>547</v>
      </c>
      <c r="E40" s="59" t="s">
        <v>534</v>
      </c>
      <c r="F40" s="59" t="s">
        <v>548</v>
      </c>
      <c r="G40" s="60" t="s">
        <v>549</v>
      </c>
      <c r="H40" s="391"/>
      <c r="I40" s="49"/>
      <c r="J40" s="393"/>
    </row>
    <row r="41" spans="1:14" ht="18.75">
      <c r="A41" s="49" t="s">
        <v>550</v>
      </c>
      <c r="B41" s="219" t="s">
        <v>540</v>
      </c>
      <c r="C41" s="230">
        <f aca="true" t="shared" si="0" ref="C41:G42">C10+C19+C35</f>
        <v>50357</v>
      </c>
      <c r="D41" s="230">
        <f t="shared" si="0"/>
        <v>24710</v>
      </c>
      <c r="E41" s="230">
        <f t="shared" si="0"/>
        <v>1092</v>
      </c>
      <c r="F41" s="230">
        <f t="shared" si="0"/>
        <v>2330</v>
      </c>
      <c r="G41" s="230">
        <f t="shared" si="0"/>
        <v>22225</v>
      </c>
      <c r="J41" s="393"/>
      <c r="K41" s="57"/>
      <c r="L41" s="57"/>
      <c r="M41" s="57"/>
      <c r="N41" s="57"/>
    </row>
    <row r="42" spans="1:7" ht="18.75">
      <c r="A42" s="49" t="s">
        <v>551</v>
      </c>
      <c r="B42" s="222" t="s">
        <v>542</v>
      </c>
      <c r="C42" s="231">
        <f t="shared" si="0"/>
        <v>167083</v>
      </c>
      <c r="D42" s="231">
        <f t="shared" si="0"/>
        <v>85757</v>
      </c>
      <c r="E42" s="231">
        <f t="shared" si="0"/>
        <v>3245</v>
      </c>
      <c r="F42" s="231">
        <f t="shared" si="0"/>
        <v>10290</v>
      </c>
      <c r="G42" s="231">
        <f t="shared" si="0"/>
        <v>67791</v>
      </c>
    </row>
    <row r="43" spans="1:7" ht="18.75">
      <c r="A43" s="49" t="s">
        <v>552</v>
      </c>
      <c r="B43" s="254" t="s">
        <v>544</v>
      </c>
      <c r="C43" s="255">
        <f>SUM(C41:C42)</f>
        <v>217440</v>
      </c>
      <c r="D43" s="255">
        <f>SUM(D41:D42)</f>
        <v>110467</v>
      </c>
      <c r="E43" s="255">
        <f>SUM(E41:E42)</f>
        <v>4337</v>
      </c>
      <c r="F43" s="255"/>
      <c r="G43" s="255">
        <f>SUM(G41:G42)</f>
        <v>90016</v>
      </c>
    </row>
  </sheetData>
  <sheetProtection password="A01C" sheet="1"/>
  <mergeCells count="2">
    <mergeCell ref="K5:S5"/>
    <mergeCell ref="B30:B31"/>
  </mergeCells>
  <conditionalFormatting sqref="F31">
    <cfRule type="expression" priority="9" dxfId="2">
      <formula>EXACT(H31,"Squadratura")</formula>
    </cfRule>
  </conditionalFormatting>
  <conditionalFormatting sqref="K12">
    <cfRule type="expression" priority="8" dxfId="2">
      <formula>EXACT($J$12,"Squadratura")</formula>
    </cfRule>
  </conditionalFormatting>
  <conditionalFormatting sqref="K20">
    <cfRule type="expression" priority="7" dxfId="2" stopIfTrue="1">
      <formula>EXACT($J$20,"Squadratura")</formula>
    </cfRule>
  </conditionalFormatting>
  <conditionalFormatting sqref="J12 J20 O31">
    <cfRule type="cellIs" priority="3" dxfId="5" operator="equal" stopIfTrue="1">
      <formula>"OK"</formula>
    </cfRule>
    <cfRule type="cellIs" priority="5" dxfId="6" operator="notEqual" stopIfTrue="1">
      <formula>"OK"</formula>
    </cfRule>
  </conditionalFormatting>
  <printOptions/>
  <pageMargins left="0.1968503937007874" right="0.1968503937007874" top="0.7480314960629921" bottom="0.7480314960629921" header="0.31496062992125984" footer="0.31496062992125984"/>
  <pageSetup fitToHeight="39" fitToWidth="1" horizontalDpi="600" verticalDpi="600" orientation="landscape" paperSize="8" scale="37" r:id="rId1"/>
  <headerFooter>
    <oddHeader>&amp;L&amp;14Piano di cassa dei flussi prospettici&amp;R&amp;14&amp;D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Di Gennaro</dc:creator>
  <cp:keywords/>
  <dc:description/>
  <cp:lastModifiedBy>GAETANO GIUSEPPE GENOVESE</cp:lastModifiedBy>
  <dcterms:created xsi:type="dcterms:W3CDTF">2016-02-03T11:33:56Z</dcterms:created>
  <dcterms:modified xsi:type="dcterms:W3CDTF">2017-03-13T09:13:49Z</dcterms:modified>
  <cp:category/>
  <cp:version/>
  <cp:contentType/>
  <cp:contentStatus/>
</cp:coreProperties>
</file>