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10185" yWindow="-15" windowWidth="10320" windowHeight="8295" firstSheet="7" activeTab="9"/>
  </bookViews>
  <sheets>
    <sheet name="INFO_OUT" sheetId="14" state="hidden" r:id="rId1"/>
    <sheet name="VERSIONI" sheetId="15" state="veryHidden" r:id="rId2"/>
    <sheet name="ANAGR" sheetId="16" state="veryHidden" r:id="rId3"/>
    <sheet name="MESI" sheetId="21" state="veryHidden" r:id="rId4"/>
    <sheet name="Info" sheetId="18" r:id="rId5"/>
    <sheet name="Assegnazione da Regione sk1" sheetId="26" r:id="rId6"/>
    <sheet name="Assegnazione da Regione sk2" sheetId="8" r:id="rId7"/>
    <sheet name="Prospetto di sintesi" sheetId="6" r:id="rId8"/>
    <sheet name="Beni e servizi" sheetId="27" r:id="rId9"/>
    <sheet name="Crediti da RL pregr" sheetId="3" r:id="rId10"/>
    <sheet name="LEGENDA ERRORI" sheetId="28" r:id="rId11"/>
    <sheet name="MAPP_ENTI" sheetId="22" state="veryHidden" r:id="rId12"/>
    <sheet name="ASSEGN" sheetId="23" state="veryHidden" r:id="rId13"/>
    <sheet name="DECRETI" sheetId="24" state="veryHidden" r:id="rId14"/>
    <sheet name="NOTE" sheetId="25" state="veryHidden" r:id="rId15"/>
  </sheets>
  <externalReferences>
    <externalReference r:id="rId16"/>
  </externalReferences>
  <definedNames>
    <definedName name="aaa" localSheetId="3">#REF!</definedName>
    <definedName name="ANAGR">ANAGR!$A$1:$H$2</definedName>
    <definedName name="_xlnm.Print_Area" localSheetId="8">'Beni e servizi'!$B$1:$S$45</definedName>
    <definedName name="_xlnm.Print_Area" localSheetId="10">'LEGENDA ERRORI'!$B$1:$C$14</definedName>
    <definedName name="_xlnm.Print_Area" localSheetId="7">'Prospetto di sintesi'!$B$1:$AS$95</definedName>
    <definedName name="ASSEGN">ASSEGN!$A$1:$I$25</definedName>
    <definedName name="DECRETI">DECRETI!$A$1:$J$61</definedName>
    <definedName name="INFO_OUT" localSheetId="3">#REF!</definedName>
    <definedName name="MAPP_ENTI">MAPP_ENTI!$A$1:$D$2</definedName>
    <definedName name="MESI">MESI!$B$2:$B$13</definedName>
    <definedName name="NOTE">NOTE!$A$1:$D$1</definedName>
    <definedName name="TENDINA_EROGATORI" localSheetId="3">[1]SK1.EROG.SAN.2011.E.PREC.!$AF$8:$AF$8</definedName>
    <definedName name="_xlnm.Print_Titles" localSheetId="7">'Prospetto di sintesi'!$B:$B,'Prospetto di sintesi'!$6:$8</definedName>
    <definedName name="VERSIONI">VERSIONI!$A$2:$A$10</definedName>
  </definedNames>
  <calcPr calcId="145621"/>
</workbook>
</file>

<file path=xl/calcChain.xml><?xml version="1.0" encoding="utf-8"?>
<calcChain xmlns="http://schemas.openxmlformats.org/spreadsheetml/2006/main">
  <c r="C65" i="3" l="1"/>
  <c r="C23" i="3"/>
  <c r="T41" i="6" l="1"/>
  <c r="G41" i="6"/>
  <c r="C35" i="27"/>
  <c r="C36" i="27"/>
  <c r="C38" i="6"/>
  <c r="D38" i="6"/>
  <c r="D32" i="6"/>
  <c r="E35" i="27" l="1"/>
  <c r="C94" i="3" l="1"/>
  <c r="C93" i="3"/>
  <c r="C90" i="3"/>
  <c r="C89" i="3"/>
  <c r="C86" i="3"/>
  <c r="D56" i="6" l="1"/>
  <c r="C55" i="6"/>
  <c r="D62" i="6"/>
  <c r="A2" i="14" l="1"/>
  <c r="B2" i="14"/>
  <c r="C2" i="14" s="1"/>
  <c r="B2" i="18"/>
  <c r="C2" i="18"/>
  <c r="B3" i="18"/>
  <c r="B5" i="18"/>
  <c r="B6" i="18"/>
  <c r="D3" i="26"/>
  <c r="F6" i="26"/>
  <c r="F82" i="26" s="1"/>
  <c r="K82" i="26"/>
  <c r="C4" i="8"/>
  <c r="B3" i="6"/>
  <c r="C12" i="6"/>
  <c r="D12" i="6"/>
  <c r="E12" i="6" s="1"/>
  <c r="F12" i="6"/>
  <c r="H12" i="6" s="1"/>
  <c r="I12" i="6"/>
  <c r="M12" i="6"/>
  <c r="O12" i="6" s="1"/>
  <c r="P12" i="6"/>
  <c r="S12" i="6"/>
  <c r="U12" i="6" s="1"/>
  <c r="W12" i="6"/>
  <c r="Z12" i="6"/>
  <c r="AB12" i="6" s="1"/>
  <c r="AC12" i="6"/>
  <c r="AG12" i="6"/>
  <c r="AJ12" i="6"/>
  <c r="AM12" i="6"/>
  <c r="AO12" i="6" s="1"/>
  <c r="G12" i="6"/>
  <c r="J12" i="6"/>
  <c r="N12" i="6"/>
  <c r="Q12" i="6"/>
  <c r="T12" i="6"/>
  <c r="X12" i="6"/>
  <c r="AA12" i="6"/>
  <c r="AD12" i="6"/>
  <c r="AH12" i="6"/>
  <c r="AK12" i="6"/>
  <c r="AN12" i="6"/>
  <c r="AR12" i="6"/>
  <c r="AI12" i="6"/>
  <c r="E13" i="6"/>
  <c r="H13" i="6"/>
  <c r="K13" i="6"/>
  <c r="L13" i="6"/>
  <c r="O13" i="6"/>
  <c r="R13" i="6"/>
  <c r="U13" i="6"/>
  <c r="V13" i="6"/>
  <c r="Y13" i="6"/>
  <c r="AB13" i="6"/>
  <c r="AE13" i="6"/>
  <c r="AF13" i="6"/>
  <c r="AI13" i="6"/>
  <c r="AL13" i="6"/>
  <c r="AO13" i="6"/>
  <c r="AP13" i="6"/>
  <c r="AQ13" i="6"/>
  <c r="AR13" i="6"/>
  <c r="AS13" i="6" s="1"/>
  <c r="E14" i="6"/>
  <c r="H14" i="6"/>
  <c r="K14" i="6"/>
  <c r="O14" i="6"/>
  <c r="R14" i="6"/>
  <c r="U14" i="6"/>
  <c r="Y14" i="6"/>
  <c r="AB14" i="6"/>
  <c r="AE14" i="6"/>
  <c r="AI14" i="6"/>
  <c r="AL14" i="6"/>
  <c r="AO14" i="6"/>
  <c r="AP14" i="6" s="1"/>
  <c r="AQ14" i="6"/>
  <c r="AR14" i="6"/>
  <c r="AS14" i="6" s="1"/>
  <c r="E15" i="6"/>
  <c r="H15" i="6"/>
  <c r="K15" i="6"/>
  <c r="O15" i="6"/>
  <c r="R15" i="6"/>
  <c r="U15" i="6"/>
  <c r="Y15" i="6"/>
  <c r="AB15" i="6"/>
  <c r="AE15" i="6"/>
  <c r="AI15" i="6"/>
  <c r="AL15" i="6"/>
  <c r="AO15" i="6"/>
  <c r="AQ15" i="6"/>
  <c r="AR15" i="6"/>
  <c r="AS15" i="6"/>
  <c r="E16" i="6"/>
  <c r="H16" i="6"/>
  <c r="H88" i="6" s="1"/>
  <c r="H90" i="6" s="1"/>
  <c r="K16" i="6"/>
  <c r="L16" i="6"/>
  <c r="O16" i="6"/>
  <c r="R16" i="6"/>
  <c r="U16" i="6"/>
  <c r="V16" i="6"/>
  <c r="Y16" i="6"/>
  <c r="AB16" i="6"/>
  <c r="AB88" i="6" s="1"/>
  <c r="AB90" i="6" s="1"/>
  <c r="AE16" i="6"/>
  <c r="AF16" i="6"/>
  <c r="AI16" i="6"/>
  <c r="AL16" i="6"/>
  <c r="AL88" i="6" s="1"/>
  <c r="AL90" i="6" s="1"/>
  <c r="AO16" i="6"/>
  <c r="AP16" i="6"/>
  <c r="AQ16" i="6"/>
  <c r="AR16" i="6"/>
  <c r="E17" i="6"/>
  <c r="H17" i="6"/>
  <c r="K17" i="6"/>
  <c r="O17" i="6"/>
  <c r="R17" i="6"/>
  <c r="U17" i="6"/>
  <c r="U93" i="6" s="1"/>
  <c r="Y17" i="6"/>
  <c r="AB17" i="6"/>
  <c r="AE17" i="6"/>
  <c r="AI17" i="6"/>
  <c r="AL17" i="6"/>
  <c r="AO17" i="6"/>
  <c r="AQ17" i="6"/>
  <c r="AR17" i="6"/>
  <c r="AS17" i="6"/>
  <c r="E19" i="6"/>
  <c r="H19" i="6"/>
  <c r="K19" i="6"/>
  <c r="O19" i="6"/>
  <c r="R19" i="6"/>
  <c r="U19" i="6"/>
  <c r="Y19" i="6"/>
  <c r="AB19" i="6"/>
  <c r="AE19" i="6"/>
  <c r="AI19" i="6"/>
  <c r="AL19" i="6"/>
  <c r="AO19" i="6"/>
  <c r="AQ19" i="6"/>
  <c r="AR19" i="6"/>
  <c r="E20" i="6"/>
  <c r="H20" i="6"/>
  <c r="K20" i="6"/>
  <c r="O20" i="6"/>
  <c r="R20" i="6"/>
  <c r="U20" i="6"/>
  <c r="Y20" i="6"/>
  <c r="AB20" i="6"/>
  <c r="AE20" i="6"/>
  <c r="AI20" i="6"/>
  <c r="AL20" i="6"/>
  <c r="AO20" i="6"/>
  <c r="AQ20" i="6"/>
  <c r="AR20" i="6"/>
  <c r="E22" i="6"/>
  <c r="H22" i="6"/>
  <c r="K22" i="6"/>
  <c r="L22" i="6"/>
  <c r="O22" i="6"/>
  <c r="R22" i="6"/>
  <c r="U22" i="6"/>
  <c r="V22" i="6"/>
  <c r="Y22" i="6"/>
  <c r="AB22" i="6"/>
  <c r="AE22" i="6"/>
  <c r="AF22" i="6"/>
  <c r="AI22" i="6"/>
  <c r="AL22" i="6"/>
  <c r="AO22" i="6"/>
  <c r="AP22" i="6"/>
  <c r="AQ22" i="6"/>
  <c r="AR22" i="6"/>
  <c r="AS22" i="6" s="1"/>
  <c r="E23" i="6"/>
  <c r="H23" i="6"/>
  <c r="K23" i="6"/>
  <c r="O23" i="6"/>
  <c r="R23" i="6"/>
  <c r="U23" i="6"/>
  <c r="Y23" i="6"/>
  <c r="AB23" i="6"/>
  <c r="AE23" i="6"/>
  <c r="AI23" i="6"/>
  <c r="AL23" i="6"/>
  <c r="AO23" i="6"/>
  <c r="AQ23" i="6"/>
  <c r="AR23" i="6"/>
  <c r="AS23" i="6"/>
  <c r="E24" i="6"/>
  <c r="H24" i="6"/>
  <c r="K24" i="6"/>
  <c r="L24" i="6"/>
  <c r="O24" i="6"/>
  <c r="R24" i="6"/>
  <c r="U24" i="6"/>
  <c r="V24" i="6"/>
  <c r="Y24" i="6"/>
  <c r="AB24" i="6"/>
  <c r="AE24" i="6"/>
  <c r="AF24" i="6"/>
  <c r="AI24" i="6"/>
  <c r="AL24" i="6"/>
  <c r="AO24" i="6"/>
  <c r="AP24" i="6"/>
  <c r="AQ24" i="6"/>
  <c r="AR24" i="6"/>
  <c r="AS24" i="6" s="1"/>
  <c r="E26" i="6"/>
  <c r="H26" i="6"/>
  <c r="K26" i="6"/>
  <c r="O26" i="6"/>
  <c r="R26" i="6"/>
  <c r="U26" i="6"/>
  <c r="Y26" i="6"/>
  <c r="AB26" i="6"/>
  <c r="AE26" i="6"/>
  <c r="AI26" i="6"/>
  <c r="AL26" i="6"/>
  <c r="AO26" i="6"/>
  <c r="AQ26" i="6"/>
  <c r="AR26" i="6"/>
  <c r="E27" i="6"/>
  <c r="H27" i="6"/>
  <c r="K27" i="6"/>
  <c r="O27" i="6"/>
  <c r="R27" i="6"/>
  <c r="U27" i="6"/>
  <c r="V27" i="6"/>
  <c r="Y27" i="6"/>
  <c r="AB27" i="6"/>
  <c r="AE27" i="6"/>
  <c r="AF27" i="6"/>
  <c r="AI27" i="6"/>
  <c r="AL27" i="6"/>
  <c r="AO27" i="6"/>
  <c r="AP27" i="6"/>
  <c r="AQ27" i="6"/>
  <c r="AR27" i="6"/>
  <c r="AS27" i="6" s="1"/>
  <c r="E28" i="6"/>
  <c r="H28" i="6"/>
  <c r="K28" i="6"/>
  <c r="L28" i="6" s="1"/>
  <c r="O28" i="6"/>
  <c r="R28" i="6"/>
  <c r="U28" i="6"/>
  <c r="Y28" i="6"/>
  <c r="AB28" i="6"/>
  <c r="AE28" i="6"/>
  <c r="AI28" i="6"/>
  <c r="AL28" i="6"/>
  <c r="AO28" i="6"/>
  <c r="AQ28" i="6"/>
  <c r="AR28" i="6"/>
  <c r="E29" i="6"/>
  <c r="H29" i="6"/>
  <c r="K29" i="6"/>
  <c r="O29" i="6"/>
  <c r="R29" i="6"/>
  <c r="U29" i="6"/>
  <c r="V29" i="6"/>
  <c r="Y29" i="6"/>
  <c r="AB29" i="6"/>
  <c r="AE29" i="6"/>
  <c r="AF29" i="6"/>
  <c r="AI29" i="6"/>
  <c r="AL29" i="6"/>
  <c r="AO29" i="6"/>
  <c r="AP29" i="6"/>
  <c r="AQ29" i="6"/>
  <c r="AR29" i="6"/>
  <c r="AS29" i="6" s="1"/>
  <c r="E31" i="6"/>
  <c r="H31" i="6"/>
  <c r="K31" i="6"/>
  <c r="O31" i="6"/>
  <c r="R31" i="6"/>
  <c r="U31" i="6"/>
  <c r="Y31" i="6"/>
  <c r="AB31" i="6"/>
  <c r="AE31" i="6"/>
  <c r="AI31" i="6"/>
  <c r="AL31" i="6"/>
  <c r="AO31" i="6"/>
  <c r="AQ31" i="6"/>
  <c r="AR31" i="6"/>
  <c r="E32" i="6"/>
  <c r="H32" i="6"/>
  <c r="K32" i="6"/>
  <c r="O32" i="6"/>
  <c r="R32" i="6"/>
  <c r="U32" i="6"/>
  <c r="Y32" i="6"/>
  <c r="AB32" i="6"/>
  <c r="AE32" i="6"/>
  <c r="AI32" i="6"/>
  <c r="AL32" i="6"/>
  <c r="AO32" i="6"/>
  <c r="AP32" i="6" s="1"/>
  <c r="AQ32" i="6"/>
  <c r="AR32" i="6"/>
  <c r="AS32" i="6" s="1"/>
  <c r="E33" i="6"/>
  <c r="H33" i="6"/>
  <c r="K33" i="6"/>
  <c r="L33" i="6"/>
  <c r="O33" i="6"/>
  <c r="R33" i="6"/>
  <c r="U33" i="6"/>
  <c r="V33" i="6"/>
  <c r="Y33" i="6"/>
  <c r="AB33" i="6"/>
  <c r="AE33" i="6"/>
  <c r="AF33" i="6"/>
  <c r="AI33" i="6"/>
  <c r="AL33" i="6"/>
  <c r="AO33" i="6"/>
  <c r="AP33" i="6"/>
  <c r="AQ33" i="6"/>
  <c r="AR33" i="6"/>
  <c r="AS33" i="6" s="1"/>
  <c r="E34" i="6"/>
  <c r="H34" i="6"/>
  <c r="K34" i="6"/>
  <c r="O34" i="6"/>
  <c r="R34" i="6"/>
  <c r="U34" i="6"/>
  <c r="Y34" i="6"/>
  <c r="AB34" i="6"/>
  <c r="AE34" i="6"/>
  <c r="AI34" i="6"/>
  <c r="AL34" i="6"/>
  <c r="AO34" i="6"/>
  <c r="AQ34" i="6"/>
  <c r="AR34" i="6"/>
  <c r="AS34" i="6"/>
  <c r="E35" i="6"/>
  <c r="H35" i="6"/>
  <c r="K35" i="6"/>
  <c r="L35" i="6"/>
  <c r="O35" i="6"/>
  <c r="R35" i="6"/>
  <c r="U35" i="6"/>
  <c r="V35" i="6"/>
  <c r="Y35" i="6"/>
  <c r="AB35" i="6"/>
  <c r="AE35" i="6"/>
  <c r="AF35" i="6"/>
  <c r="AI35" i="6"/>
  <c r="AL35" i="6"/>
  <c r="AO35" i="6"/>
  <c r="AP35" i="6"/>
  <c r="AQ35" i="6"/>
  <c r="AR35" i="6"/>
  <c r="AS35" i="6" s="1"/>
  <c r="E36" i="6"/>
  <c r="H36" i="6"/>
  <c r="K36" i="6"/>
  <c r="O36" i="6"/>
  <c r="R36" i="6"/>
  <c r="U36" i="6"/>
  <c r="Y36" i="6"/>
  <c r="AB36" i="6"/>
  <c r="AE36" i="6"/>
  <c r="AI36" i="6"/>
  <c r="AL36" i="6"/>
  <c r="AO36" i="6"/>
  <c r="AQ36" i="6"/>
  <c r="AR36" i="6"/>
  <c r="AS36" i="6"/>
  <c r="E38" i="6"/>
  <c r="H38" i="6"/>
  <c r="K38" i="6"/>
  <c r="O38" i="6"/>
  <c r="R38" i="6"/>
  <c r="U38" i="6"/>
  <c r="Y38" i="6"/>
  <c r="AB38" i="6"/>
  <c r="AE38" i="6"/>
  <c r="AI38" i="6"/>
  <c r="AL38" i="6"/>
  <c r="AO38" i="6"/>
  <c r="AQ38" i="6"/>
  <c r="AR38" i="6"/>
  <c r="E39" i="6"/>
  <c r="H39" i="6"/>
  <c r="K39" i="6"/>
  <c r="L39" i="6"/>
  <c r="O39" i="6"/>
  <c r="R39" i="6"/>
  <c r="U39" i="6"/>
  <c r="V39" i="6"/>
  <c r="Y39" i="6"/>
  <c r="AB39" i="6"/>
  <c r="AE39" i="6"/>
  <c r="AF39" i="6"/>
  <c r="AI39" i="6"/>
  <c r="AL39" i="6"/>
  <c r="AO39" i="6"/>
  <c r="AP39" i="6"/>
  <c r="AQ39" i="6"/>
  <c r="AR39" i="6"/>
  <c r="AS39" i="6" s="1"/>
  <c r="E41" i="6"/>
  <c r="H41" i="6"/>
  <c r="K41" i="6"/>
  <c r="O41" i="6"/>
  <c r="R41" i="6"/>
  <c r="U41" i="6"/>
  <c r="Y41" i="6"/>
  <c r="AB41" i="6"/>
  <c r="AE41" i="6"/>
  <c r="AI41" i="6"/>
  <c r="AL41" i="6"/>
  <c r="AO41" i="6"/>
  <c r="AQ41" i="6"/>
  <c r="AR41" i="6"/>
  <c r="E42" i="6"/>
  <c r="H42" i="6"/>
  <c r="K42" i="6"/>
  <c r="O42" i="6"/>
  <c r="R42" i="6"/>
  <c r="U42" i="6"/>
  <c r="Y42" i="6"/>
  <c r="AB42" i="6"/>
  <c r="AE42" i="6"/>
  <c r="AI42" i="6"/>
  <c r="AL42" i="6"/>
  <c r="AO42" i="6"/>
  <c r="AQ42" i="6"/>
  <c r="AR42" i="6"/>
  <c r="AS42" i="6"/>
  <c r="E43" i="6"/>
  <c r="H43" i="6"/>
  <c r="L43" i="6" s="1"/>
  <c r="K43" i="6"/>
  <c r="O43" i="6"/>
  <c r="R43" i="6"/>
  <c r="U43" i="6"/>
  <c r="Y43" i="6"/>
  <c r="AB43" i="6"/>
  <c r="AE43" i="6"/>
  <c r="AI43" i="6"/>
  <c r="AP43" i="6" s="1"/>
  <c r="AL43" i="6"/>
  <c r="AO43" i="6"/>
  <c r="AQ43" i="6"/>
  <c r="AR43" i="6"/>
  <c r="AS43" i="6" s="1"/>
  <c r="E45" i="6"/>
  <c r="H45" i="6"/>
  <c r="K45" i="6"/>
  <c r="O45" i="6"/>
  <c r="R45" i="6"/>
  <c r="U45" i="6"/>
  <c r="Y45" i="6"/>
  <c r="AB45" i="6"/>
  <c r="AE45" i="6"/>
  <c r="AI45" i="6"/>
  <c r="AL45" i="6"/>
  <c r="AO45" i="6"/>
  <c r="AQ45" i="6"/>
  <c r="AR45" i="6"/>
  <c r="AS45" i="6"/>
  <c r="E46" i="6"/>
  <c r="H46" i="6"/>
  <c r="K46" i="6"/>
  <c r="O46" i="6"/>
  <c r="R46" i="6"/>
  <c r="U46" i="6"/>
  <c r="Y46" i="6"/>
  <c r="AB46" i="6"/>
  <c r="AE46" i="6"/>
  <c r="AI46" i="6"/>
  <c r="AL46" i="6"/>
  <c r="AO46" i="6"/>
  <c r="AQ46" i="6"/>
  <c r="AR46" i="6"/>
  <c r="AS46" i="6" s="1"/>
  <c r="E48" i="6"/>
  <c r="H48" i="6"/>
  <c r="K48" i="6"/>
  <c r="O48" i="6"/>
  <c r="R48" i="6"/>
  <c r="U48" i="6"/>
  <c r="Y48" i="6"/>
  <c r="AB48" i="6"/>
  <c r="AE48" i="6"/>
  <c r="AI48" i="6"/>
  <c r="AL48" i="6"/>
  <c r="AO48" i="6"/>
  <c r="AQ48" i="6"/>
  <c r="AR48" i="6"/>
  <c r="AS48" i="6"/>
  <c r="E49" i="6"/>
  <c r="H49" i="6"/>
  <c r="L49" i="6" s="1"/>
  <c r="K49" i="6"/>
  <c r="O49" i="6"/>
  <c r="R49" i="6"/>
  <c r="U49" i="6"/>
  <c r="Y49" i="6"/>
  <c r="AB49" i="6"/>
  <c r="AE49" i="6"/>
  <c r="AI49" i="6"/>
  <c r="AP49" i="6" s="1"/>
  <c r="AL49" i="6"/>
  <c r="AO49" i="6"/>
  <c r="AQ49" i="6"/>
  <c r="AR49" i="6"/>
  <c r="AS49" i="6" s="1"/>
  <c r="E50" i="6"/>
  <c r="H50" i="6"/>
  <c r="K50" i="6"/>
  <c r="O50" i="6"/>
  <c r="R50" i="6"/>
  <c r="U50" i="6"/>
  <c r="Y50" i="6"/>
  <c r="AB50" i="6"/>
  <c r="AE50" i="6"/>
  <c r="AI50" i="6"/>
  <c r="AL50" i="6"/>
  <c r="AO50" i="6"/>
  <c r="AQ50" i="6"/>
  <c r="AR50" i="6"/>
  <c r="AS50" i="6"/>
  <c r="E52" i="6"/>
  <c r="H52" i="6"/>
  <c r="K52" i="6"/>
  <c r="O52" i="6"/>
  <c r="R52" i="6"/>
  <c r="U52" i="6"/>
  <c r="Y52" i="6"/>
  <c r="AB52" i="6"/>
  <c r="AE52" i="6"/>
  <c r="AI52" i="6"/>
  <c r="AL52" i="6"/>
  <c r="AO52" i="6"/>
  <c r="AQ52" i="6"/>
  <c r="AR52" i="6"/>
  <c r="AS52" i="6" s="1"/>
  <c r="C53" i="6"/>
  <c r="D53" i="6"/>
  <c r="F53" i="6"/>
  <c r="G53" i="6"/>
  <c r="I53" i="6"/>
  <c r="N53" i="6"/>
  <c r="P53" i="6"/>
  <c r="S53" i="6"/>
  <c r="T53" i="6"/>
  <c r="W53" i="6"/>
  <c r="AA53" i="6"/>
  <c r="AC53" i="6"/>
  <c r="AG53" i="6"/>
  <c r="AH53" i="6"/>
  <c r="AJ53" i="6"/>
  <c r="AN53" i="6"/>
  <c r="E55" i="6"/>
  <c r="H55" i="6"/>
  <c r="K55" i="6"/>
  <c r="O55" i="6"/>
  <c r="R55" i="6"/>
  <c r="U55" i="6"/>
  <c r="Y55" i="6"/>
  <c r="AB55" i="6"/>
  <c r="AE55" i="6"/>
  <c r="AF55" i="6" s="1"/>
  <c r="AI55" i="6"/>
  <c r="AL55" i="6"/>
  <c r="AO55" i="6"/>
  <c r="AQ55" i="6"/>
  <c r="AR55" i="6"/>
  <c r="E56" i="6"/>
  <c r="H56" i="6"/>
  <c r="K56" i="6"/>
  <c r="O56" i="6"/>
  <c r="R56" i="6"/>
  <c r="U56" i="6"/>
  <c r="Y56" i="6"/>
  <c r="AB56" i="6"/>
  <c r="AE56" i="6"/>
  <c r="AI56" i="6"/>
  <c r="AL56" i="6"/>
  <c r="AO56" i="6"/>
  <c r="AO76" i="6" s="1"/>
  <c r="AQ56" i="6"/>
  <c r="AR56" i="6"/>
  <c r="E57" i="6"/>
  <c r="H57" i="6"/>
  <c r="K57" i="6"/>
  <c r="O57" i="6"/>
  <c r="R57" i="6"/>
  <c r="U57" i="6"/>
  <c r="Y57" i="6"/>
  <c r="AB57" i="6"/>
  <c r="AE57" i="6"/>
  <c r="AI57" i="6"/>
  <c r="AL57" i="6"/>
  <c r="AO57" i="6"/>
  <c r="AQ57" i="6"/>
  <c r="AR57" i="6"/>
  <c r="E58" i="6"/>
  <c r="H58" i="6"/>
  <c r="K58" i="6"/>
  <c r="O58" i="6"/>
  <c r="R58" i="6"/>
  <c r="U58" i="6"/>
  <c r="Y58" i="6"/>
  <c r="AB58" i="6"/>
  <c r="AE58" i="6"/>
  <c r="AF58" i="6"/>
  <c r="AI58" i="6"/>
  <c r="AL58" i="6"/>
  <c r="AO58" i="6"/>
  <c r="AP58" i="6"/>
  <c r="AQ58" i="6"/>
  <c r="AR58" i="6"/>
  <c r="AS58" i="6" s="1"/>
  <c r="E59" i="6"/>
  <c r="H59" i="6"/>
  <c r="K59" i="6"/>
  <c r="L59" i="6"/>
  <c r="L89" i="6" s="1"/>
  <c r="O59" i="6"/>
  <c r="R59" i="6"/>
  <c r="R89" i="6" s="1"/>
  <c r="U59" i="6"/>
  <c r="V59" i="6"/>
  <c r="Y59" i="6"/>
  <c r="AB59" i="6"/>
  <c r="AB79" i="6" s="1"/>
  <c r="AE59" i="6"/>
  <c r="AF59" i="6"/>
  <c r="AI59" i="6"/>
  <c r="AL59" i="6"/>
  <c r="AL89" i="6" s="1"/>
  <c r="AO59" i="6"/>
  <c r="AP59" i="6"/>
  <c r="AP89" i="6" s="1"/>
  <c r="AQ59" i="6"/>
  <c r="AR59" i="6"/>
  <c r="E60" i="6"/>
  <c r="H60" i="6"/>
  <c r="K60" i="6"/>
  <c r="O60" i="6"/>
  <c r="R60" i="6"/>
  <c r="U60" i="6"/>
  <c r="Y60" i="6"/>
  <c r="AB60" i="6"/>
  <c r="AE60" i="6"/>
  <c r="AI60" i="6"/>
  <c r="AL60" i="6"/>
  <c r="AO60" i="6"/>
  <c r="AO79" i="6" s="1"/>
  <c r="AQ60" i="6"/>
  <c r="AR60" i="6"/>
  <c r="AS60" i="6"/>
  <c r="E61" i="6"/>
  <c r="H61" i="6"/>
  <c r="K61" i="6"/>
  <c r="L61" i="6"/>
  <c r="O61" i="6"/>
  <c r="R61" i="6"/>
  <c r="U61" i="6"/>
  <c r="V61" i="6"/>
  <c r="Y61" i="6"/>
  <c r="AB61" i="6"/>
  <c r="AE61" i="6"/>
  <c r="AF61" i="6"/>
  <c r="AI61" i="6"/>
  <c r="AL61" i="6"/>
  <c r="AO61" i="6"/>
  <c r="AP61" i="6"/>
  <c r="AQ61" i="6"/>
  <c r="AR61" i="6"/>
  <c r="AS61" i="6" s="1"/>
  <c r="E62" i="6"/>
  <c r="H62" i="6"/>
  <c r="K62" i="6"/>
  <c r="O62" i="6"/>
  <c r="R62" i="6"/>
  <c r="U62" i="6"/>
  <c r="Y62" i="6"/>
  <c r="AB62" i="6"/>
  <c r="AE62" i="6"/>
  <c r="AF62" i="6" s="1"/>
  <c r="AI62" i="6"/>
  <c r="AL62" i="6"/>
  <c r="AO62" i="6"/>
  <c r="AP62" i="6"/>
  <c r="AQ62" i="6"/>
  <c r="AQ75" i="6"/>
  <c r="AS75" i="6" s="1"/>
  <c r="AQ72" i="6"/>
  <c r="AQ73" i="6"/>
  <c r="AQ63" i="6"/>
  <c r="AQ64" i="6"/>
  <c r="AQ65" i="6"/>
  <c r="AQ66" i="6"/>
  <c r="AQ67" i="6"/>
  <c r="AQ68" i="6"/>
  <c r="AS68" i="6" s="1"/>
  <c r="AQ69" i="6"/>
  <c r="AQ70" i="6"/>
  <c r="AS70" i="6" s="1"/>
  <c r="AR62" i="6"/>
  <c r="AS62" i="6" s="1"/>
  <c r="E63" i="6"/>
  <c r="H63" i="6"/>
  <c r="K63" i="6"/>
  <c r="O63" i="6"/>
  <c r="R63" i="6"/>
  <c r="U63" i="6"/>
  <c r="Y63" i="6"/>
  <c r="AB63" i="6"/>
  <c r="AE63" i="6"/>
  <c r="AI63" i="6"/>
  <c r="AL63" i="6"/>
  <c r="AO63" i="6"/>
  <c r="AP63" i="6"/>
  <c r="AR63" i="6"/>
  <c r="E64" i="6"/>
  <c r="H64" i="6"/>
  <c r="K64" i="6"/>
  <c r="O64" i="6"/>
  <c r="R64" i="6"/>
  <c r="U64" i="6"/>
  <c r="Y64" i="6"/>
  <c r="AB64" i="6"/>
  <c r="AE64" i="6"/>
  <c r="AI64" i="6"/>
  <c r="AL64" i="6"/>
  <c r="AO64" i="6"/>
  <c r="AR64" i="6"/>
  <c r="E65" i="6"/>
  <c r="H65" i="6"/>
  <c r="K65" i="6"/>
  <c r="O65" i="6"/>
  <c r="R65" i="6"/>
  <c r="U65" i="6"/>
  <c r="Y65" i="6"/>
  <c r="AB65" i="6"/>
  <c r="AE65" i="6"/>
  <c r="AI65" i="6"/>
  <c r="AL65" i="6"/>
  <c r="AO65" i="6"/>
  <c r="AR65" i="6"/>
  <c r="E66" i="6"/>
  <c r="H66" i="6"/>
  <c r="K66" i="6"/>
  <c r="O66" i="6"/>
  <c r="R66" i="6"/>
  <c r="U66" i="6"/>
  <c r="Y66" i="6"/>
  <c r="AB66" i="6"/>
  <c r="AE66" i="6"/>
  <c r="AI66" i="6"/>
  <c r="AL66" i="6"/>
  <c r="AO66" i="6"/>
  <c r="AR66" i="6"/>
  <c r="E67" i="6"/>
  <c r="H67" i="6"/>
  <c r="K67" i="6"/>
  <c r="L67" i="6" s="1"/>
  <c r="O67" i="6"/>
  <c r="R67" i="6"/>
  <c r="U67" i="6"/>
  <c r="Y67" i="6"/>
  <c r="AB67" i="6"/>
  <c r="AE67" i="6"/>
  <c r="AI67" i="6"/>
  <c r="AL67" i="6"/>
  <c r="AO67" i="6"/>
  <c r="AP67" i="6"/>
  <c r="AR67" i="6"/>
  <c r="AS67" i="6" s="1"/>
  <c r="E68" i="6"/>
  <c r="H68" i="6"/>
  <c r="K68" i="6"/>
  <c r="O68" i="6"/>
  <c r="R68" i="6"/>
  <c r="U68" i="6"/>
  <c r="Y68" i="6"/>
  <c r="AB68" i="6"/>
  <c r="AE68" i="6"/>
  <c r="AI68" i="6"/>
  <c r="AL68" i="6"/>
  <c r="AO68" i="6"/>
  <c r="AR68" i="6"/>
  <c r="E69" i="6"/>
  <c r="H69" i="6"/>
  <c r="K69" i="6"/>
  <c r="O69" i="6"/>
  <c r="R69" i="6"/>
  <c r="U69" i="6"/>
  <c r="Y69" i="6"/>
  <c r="AB69" i="6"/>
  <c r="AE69" i="6"/>
  <c r="AI69" i="6"/>
  <c r="AL69" i="6"/>
  <c r="AO69" i="6"/>
  <c r="AR69" i="6"/>
  <c r="AS69" i="6" s="1"/>
  <c r="E70" i="6"/>
  <c r="H70" i="6"/>
  <c r="K70" i="6"/>
  <c r="O70" i="6"/>
  <c r="R70" i="6"/>
  <c r="U70" i="6"/>
  <c r="Y70" i="6"/>
  <c r="AB70" i="6"/>
  <c r="AE70" i="6"/>
  <c r="AI70" i="6"/>
  <c r="AL70" i="6"/>
  <c r="AO70" i="6"/>
  <c r="AR70" i="6"/>
  <c r="E72" i="6"/>
  <c r="H72" i="6"/>
  <c r="K72" i="6"/>
  <c r="O72" i="6"/>
  <c r="R72" i="6"/>
  <c r="U72" i="6"/>
  <c r="Y72" i="6"/>
  <c r="AB72" i="6"/>
  <c r="AE72" i="6"/>
  <c r="AI72" i="6"/>
  <c r="AL72" i="6"/>
  <c r="AO72" i="6"/>
  <c r="AR72" i="6"/>
  <c r="AS72" i="6" s="1"/>
  <c r="E73" i="6"/>
  <c r="H73" i="6"/>
  <c r="K73" i="6"/>
  <c r="O73" i="6"/>
  <c r="R73" i="6"/>
  <c r="U73" i="6"/>
  <c r="Y73" i="6"/>
  <c r="AB73" i="6"/>
  <c r="AE73" i="6"/>
  <c r="AF73" i="6"/>
  <c r="AI73" i="6"/>
  <c r="AL73" i="6"/>
  <c r="AO73" i="6"/>
  <c r="AP73" i="6"/>
  <c r="AI75" i="6"/>
  <c r="AL75" i="6"/>
  <c r="AL76" i="6" s="1"/>
  <c r="AO75" i="6"/>
  <c r="AP75" i="6"/>
  <c r="AR73" i="6"/>
  <c r="E75" i="6"/>
  <c r="H75" i="6"/>
  <c r="K75" i="6"/>
  <c r="O75" i="6"/>
  <c r="R75" i="6"/>
  <c r="U75" i="6"/>
  <c r="Y75" i="6"/>
  <c r="AB75" i="6"/>
  <c r="AE75" i="6"/>
  <c r="AR75" i="6"/>
  <c r="C76" i="6"/>
  <c r="D76" i="6"/>
  <c r="F76" i="6"/>
  <c r="G76" i="6"/>
  <c r="I76" i="6"/>
  <c r="J76" i="6"/>
  <c r="M76" i="6"/>
  <c r="N76" i="6"/>
  <c r="P76" i="6"/>
  <c r="Q76" i="6"/>
  <c r="S76" i="6"/>
  <c r="T76" i="6"/>
  <c r="W76" i="6"/>
  <c r="X76" i="6"/>
  <c r="Z76" i="6"/>
  <c r="AA76" i="6"/>
  <c r="AA78" i="6" s="1"/>
  <c r="AA80" i="6" s="1"/>
  <c r="AC76" i="6"/>
  <c r="AC78" i="6" s="1"/>
  <c r="AC80" i="6" s="1"/>
  <c r="AD76" i="6"/>
  <c r="AG76" i="6"/>
  <c r="AH76" i="6"/>
  <c r="AJ76" i="6"/>
  <c r="AK76" i="6"/>
  <c r="AM76" i="6"/>
  <c r="AN76" i="6"/>
  <c r="C88" i="6"/>
  <c r="C90" i="6" s="1"/>
  <c r="C89" i="6"/>
  <c r="H79" i="6"/>
  <c r="U79" i="6"/>
  <c r="AI79" i="6"/>
  <c r="F88" i="6"/>
  <c r="F90" i="6" s="1"/>
  <c r="F89" i="6"/>
  <c r="H89" i="6"/>
  <c r="J88" i="6"/>
  <c r="J89" i="6"/>
  <c r="N88" i="6"/>
  <c r="N89" i="6"/>
  <c r="P88" i="6"/>
  <c r="P89" i="6"/>
  <c r="T88" i="6"/>
  <c r="T89" i="6"/>
  <c r="X88" i="6"/>
  <c r="X89" i="6"/>
  <c r="Z88" i="6"/>
  <c r="Z89" i="6"/>
  <c r="AB89" i="6"/>
  <c r="AD88" i="6"/>
  <c r="AD89" i="6"/>
  <c r="AH88" i="6"/>
  <c r="AH89" i="6"/>
  <c r="AJ88" i="6"/>
  <c r="AJ89" i="6"/>
  <c r="AN88" i="6"/>
  <c r="AN89" i="6"/>
  <c r="L83" i="6"/>
  <c r="V83" i="6"/>
  <c r="AF83" i="6"/>
  <c r="AP83" i="6"/>
  <c r="AS83" i="6"/>
  <c r="L84" i="6"/>
  <c r="V84" i="6"/>
  <c r="AF84" i="6"/>
  <c r="AP84" i="6"/>
  <c r="AS84" i="6"/>
  <c r="L85" i="6"/>
  <c r="V85" i="6"/>
  <c r="AF85" i="6"/>
  <c r="AP85" i="6"/>
  <c r="AS85" i="6"/>
  <c r="D88" i="6"/>
  <c r="D90" i="6" s="1"/>
  <c r="G88" i="6"/>
  <c r="G90" i="6" s="1"/>
  <c r="G89" i="6"/>
  <c r="I88" i="6"/>
  <c r="I89" i="6"/>
  <c r="K88" i="6"/>
  <c r="K89" i="6"/>
  <c r="M88" i="6"/>
  <c r="M90" i="6" s="1"/>
  <c r="M89" i="6"/>
  <c r="O88" i="6"/>
  <c r="Q88" i="6"/>
  <c r="Q89" i="6"/>
  <c r="S88" i="6"/>
  <c r="S89" i="6"/>
  <c r="U88" i="6"/>
  <c r="W88" i="6"/>
  <c r="W89" i="6"/>
  <c r="Y88" i="6"/>
  <c r="AA88" i="6"/>
  <c r="AA89" i="6"/>
  <c r="AC88" i="6"/>
  <c r="AC89" i="6"/>
  <c r="AE89" i="6"/>
  <c r="AG88" i="6"/>
  <c r="AG89" i="6"/>
  <c r="AI88" i="6"/>
  <c r="AK88" i="6"/>
  <c r="AK89" i="6"/>
  <c r="AM88" i="6"/>
  <c r="AM90" i="6" s="1"/>
  <c r="AM89" i="6"/>
  <c r="AO88" i="6"/>
  <c r="AO90" i="6" s="1"/>
  <c r="AQ88" i="6"/>
  <c r="AQ90" i="6" s="1"/>
  <c r="D89" i="6"/>
  <c r="E89" i="6"/>
  <c r="O89" i="6"/>
  <c r="U89" i="6"/>
  <c r="V89" i="6"/>
  <c r="Y89" i="6"/>
  <c r="AF89" i="6"/>
  <c r="AI89" i="6"/>
  <c r="AO89" i="6"/>
  <c r="AQ89" i="6"/>
  <c r="I90" i="6"/>
  <c r="J90" i="6"/>
  <c r="K90" i="6"/>
  <c r="N90" i="6"/>
  <c r="O90" i="6"/>
  <c r="P90" i="6"/>
  <c r="Q90" i="6"/>
  <c r="S90" i="6"/>
  <c r="T90" i="6"/>
  <c r="U90" i="6"/>
  <c r="W90" i="6"/>
  <c r="X90" i="6"/>
  <c r="Y90" i="6"/>
  <c r="Z90" i="6"/>
  <c r="AA90" i="6"/>
  <c r="AC90" i="6"/>
  <c r="AD90" i="6"/>
  <c r="AG90" i="6"/>
  <c r="AH90" i="6"/>
  <c r="AI90" i="6"/>
  <c r="AJ90" i="6"/>
  <c r="AK90" i="6"/>
  <c r="AN90" i="6"/>
  <c r="C91" i="6"/>
  <c r="D91" i="6"/>
  <c r="E91" i="6"/>
  <c r="F91" i="6"/>
  <c r="G91" i="6"/>
  <c r="H91" i="6"/>
  <c r="I91" i="6"/>
  <c r="I95" i="6" s="1"/>
  <c r="J91" i="6"/>
  <c r="K91" i="6"/>
  <c r="L91" i="6"/>
  <c r="M91" i="6"/>
  <c r="N91" i="6"/>
  <c r="O91" i="6"/>
  <c r="P91" i="6"/>
  <c r="Q91" i="6"/>
  <c r="Q95" i="6" s="1"/>
  <c r="R91" i="6"/>
  <c r="S91" i="6"/>
  <c r="S95" i="6" s="1"/>
  <c r="T91" i="6"/>
  <c r="U91" i="6"/>
  <c r="U95" i="6" s="1"/>
  <c r="V91" i="6"/>
  <c r="W91" i="6"/>
  <c r="W95" i="6" s="1"/>
  <c r="X91" i="6"/>
  <c r="Y91" i="6"/>
  <c r="Z91" i="6"/>
  <c r="AA91" i="6"/>
  <c r="AB91" i="6"/>
  <c r="AC91" i="6"/>
  <c r="AC95" i="6" s="1"/>
  <c r="AD91" i="6"/>
  <c r="AE91" i="6"/>
  <c r="AF91" i="6"/>
  <c r="AG91" i="6"/>
  <c r="AH91" i="6"/>
  <c r="AI91" i="6"/>
  <c r="AJ91" i="6"/>
  <c r="AK91" i="6"/>
  <c r="AK95" i="6" s="1"/>
  <c r="AL91" i="6"/>
  <c r="AM91" i="6"/>
  <c r="AN91" i="6"/>
  <c r="AO91" i="6"/>
  <c r="AP91" i="6"/>
  <c r="AQ91" i="6"/>
  <c r="AR91" i="6"/>
  <c r="AS91" i="6"/>
  <c r="C93" i="6"/>
  <c r="D93" i="6"/>
  <c r="E93" i="6"/>
  <c r="F93" i="6"/>
  <c r="G93" i="6"/>
  <c r="H93" i="6"/>
  <c r="I93" i="6"/>
  <c r="J93" i="6"/>
  <c r="K93" i="6"/>
  <c r="M93" i="6"/>
  <c r="N93" i="6"/>
  <c r="O93" i="6"/>
  <c r="P93" i="6"/>
  <c r="Q93" i="6"/>
  <c r="R93" i="6"/>
  <c r="S93" i="6"/>
  <c r="T93" i="6"/>
  <c r="W93" i="6"/>
  <c r="X93" i="6"/>
  <c r="X95" i="6" s="1"/>
  <c r="Y93" i="6"/>
  <c r="Z93" i="6"/>
  <c r="AA93" i="6"/>
  <c r="AA95" i="6"/>
  <c r="AB93" i="6"/>
  <c r="AC93" i="6"/>
  <c r="AD93" i="6"/>
  <c r="AE93" i="6"/>
  <c r="AG93" i="6"/>
  <c r="AH93" i="6"/>
  <c r="AI93" i="6"/>
  <c r="AI95" i="6"/>
  <c r="AJ93" i="6"/>
  <c r="AK93" i="6"/>
  <c r="AL93" i="6"/>
  <c r="AL95" i="6" s="1"/>
  <c r="AM93" i="6"/>
  <c r="AN93" i="6"/>
  <c r="AO93" i="6"/>
  <c r="AQ93" i="6"/>
  <c r="AR93" i="6"/>
  <c r="AS93" i="6"/>
  <c r="D95" i="6"/>
  <c r="J95" i="6"/>
  <c r="N95" i="6"/>
  <c r="P95" i="6"/>
  <c r="T95" i="6"/>
  <c r="Z95" i="6"/>
  <c r="AB95" i="6"/>
  <c r="AD95" i="6"/>
  <c r="AH95" i="6"/>
  <c r="AN95" i="6"/>
  <c r="B3" i="27"/>
  <c r="J7" i="27"/>
  <c r="D12" i="28" s="1"/>
  <c r="G10" i="27"/>
  <c r="K10" i="27"/>
  <c r="N10" i="27" s="1"/>
  <c r="K11" i="27"/>
  <c r="N11" i="27"/>
  <c r="N19" i="27"/>
  <c r="N20" i="27"/>
  <c r="N21" i="27" s="1"/>
  <c r="N25" i="27"/>
  <c r="G11" i="27"/>
  <c r="C12" i="27"/>
  <c r="D12" i="27"/>
  <c r="E12" i="27"/>
  <c r="E31" i="27" s="1"/>
  <c r="F12" i="27"/>
  <c r="F21" i="27"/>
  <c r="F31" i="27" s="1"/>
  <c r="L12" i="27"/>
  <c r="L21" i="27"/>
  <c r="L26" i="27"/>
  <c r="M12" i="27"/>
  <c r="M13" i="27"/>
  <c r="M14" i="27"/>
  <c r="G19" i="27"/>
  <c r="G41" i="27" s="1"/>
  <c r="O19" i="27"/>
  <c r="S19" i="27"/>
  <c r="S21" i="27" s="1"/>
  <c r="G20" i="27"/>
  <c r="O20" i="27"/>
  <c r="D11" i="28" s="1"/>
  <c r="S20" i="27"/>
  <c r="C21" i="27"/>
  <c r="C25" i="27"/>
  <c r="D21" i="27"/>
  <c r="D31" i="27" s="1"/>
  <c r="E21" i="27"/>
  <c r="G21" i="27"/>
  <c r="K21" i="27"/>
  <c r="M21" i="27"/>
  <c r="P21" i="27"/>
  <c r="Q21" i="27"/>
  <c r="Q26" i="27" s="1"/>
  <c r="R21" i="27"/>
  <c r="S25" i="27"/>
  <c r="M26" i="27"/>
  <c r="P26" i="27"/>
  <c r="R26" i="27"/>
  <c r="L31" i="27"/>
  <c r="P31" i="27"/>
  <c r="R31" i="27"/>
  <c r="G35" i="27"/>
  <c r="G36" i="27"/>
  <c r="N35" i="27"/>
  <c r="N36" i="27"/>
  <c r="C37" i="27"/>
  <c r="D37" i="27"/>
  <c r="E37" i="27"/>
  <c r="K37" i="27"/>
  <c r="L37" i="27"/>
  <c r="M37" i="27"/>
  <c r="C41" i="27"/>
  <c r="C42" i="27"/>
  <c r="D41" i="27"/>
  <c r="D43" i="27" s="1"/>
  <c r="D42" i="27"/>
  <c r="E41" i="27"/>
  <c r="E42" i="27"/>
  <c r="E43" i="27"/>
  <c r="F41" i="27"/>
  <c r="F42" i="27"/>
  <c r="B3" i="3"/>
  <c r="C3" i="3"/>
  <c r="B10" i="3" s="1"/>
  <c r="D19" i="3" s="1"/>
  <c r="D83" i="3" s="1"/>
  <c r="C8" i="3"/>
  <c r="B11" i="3"/>
  <c r="E19" i="3" s="1"/>
  <c r="E83" i="3" s="1"/>
  <c r="C20" i="3"/>
  <c r="D20" i="3"/>
  <c r="E20" i="3"/>
  <c r="F20" i="3"/>
  <c r="G20" i="3"/>
  <c r="H20" i="3"/>
  <c r="I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C41" i="3"/>
  <c r="D41" i="3"/>
  <c r="D62" i="3"/>
  <c r="D84" i="3"/>
  <c r="E41" i="3"/>
  <c r="F41" i="3"/>
  <c r="F105" i="3" s="1"/>
  <c r="F62" i="3"/>
  <c r="F84" i="3"/>
  <c r="G41" i="3"/>
  <c r="H41" i="3"/>
  <c r="I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C62" i="3"/>
  <c r="E62" i="3"/>
  <c r="G62" i="3"/>
  <c r="H62" i="3"/>
  <c r="I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C84" i="3"/>
  <c r="E84" i="3"/>
  <c r="G84" i="3"/>
  <c r="H84" i="3"/>
  <c r="I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G105" i="3"/>
  <c r="D10" i="28"/>
  <c r="H105" i="3"/>
  <c r="Q31" i="27"/>
  <c r="AP52" i="6"/>
  <c r="V52" i="6"/>
  <c r="AF49" i="6"/>
  <c r="AP46" i="6"/>
  <c r="V46" i="6"/>
  <c r="AF43" i="6"/>
  <c r="AP41" i="6"/>
  <c r="L55" i="6"/>
  <c r="AF52" i="6"/>
  <c r="L52" i="6"/>
  <c r="V49" i="6"/>
  <c r="AF46" i="6"/>
  <c r="L46" i="6"/>
  <c r="V43" i="6"/>
  <c r="AP38" i="6"/>
  <c r="E76" i="6"/>
  <c r="I105" i="3" l="1"/>
  <c r="B15" i="3"/>
  <c r="I19" i="3" s="1"/>
  <c r="I83" i="3" s="1"/>
  <c r="E105" i="3"/>
  <c r="S26" i="27"/>
  <c r="S31" i="27"/>
  <c r="AQ95" i="6"/>
  <c r="M95" i="6"/>
  <c r="AC81" i="6"/>
  <c r="AF75" i="6"/>
  <c r="L75" i="6"/>
  <c r="AF72" i="6"/>
  <c r="L72" i="6"/>
  <c r="AP70" i="6"/>
  <c r="V70" i="6"/>
  <c r="AF69" i="6"/>
  <c r="L69" i="6"/>
  <c r="AP68" i="6"/>
  <c r="V68" i="6"/>
  <c r="AF66" i="6"/>
  <c r="L66" i="6"/>
  <c r="AP65" i="6"/>
  <c r="AF64" i="6"/>
  <c r="L64" i="6"/>
  <c r="AS66" i="6"/>
  <c r="AS64" i="6"/>
  <c r="AP60" i="6"/>
  <c r="V60" i="6"/>
  <c r="AS59" i="6"/>
  <c r="AS89" i="6" s="1"/>
  <c r="AR89" i="6"/>
  <c r="AP57" i="6"/>
  <c r="AP76" i="6" s="1"/>
  <c r="V57" i="6"/>
  <c r="C78" i="6"/>
  <c r="AP50" i="6"/>
  <c r="V50" i="6"/>
  <c r="AF48" i="6"/>
  <c r="L48" i="6"/>
  <c r="AP45" i="6"/>
  <c r="V45" i="6"/>
  <c r="AF42" i="6"/>
  <c r="L42" i="6"/>
  <c r="AP36" i="6"/>
  <c r="V36" i="6"/>
  <c r="AF34" i="6"/>
  <c r="AF32" i="6"/>
  <c r="AF31" i="6"/>
  <c r="AL12" i="6"/>
  <c r="AP12" i="6" s="1"/>
  <c r="AK53" i="6"/>
  <c r="AK78" i="6" s="1"/>
  <c r="AK80" i="6" s="1"/>
  <c r="AK81" i="6" s="1"/>
  <c r="AE12" i="6"/>
  <c r="AD53" i="6"/>
  <c r="Y12" i="6"/>
  <c r="AF12" i="6" s="1"/>
  <c r="X53" i="6"/>
  <c r="R12" i="6"/>
  <c r="R53" i="6" s="1"/>
  <c r="Q53" i="6"/>
  <c r="K12" i="6"/>
  <c r="L12" i="6" s="1"/>
  <c r="J53" i="6"/>
  <c r="H6" i="26"/>
  <c r="H82" i="26" s="1"/>
  <c r="E7" i="8"/>
  <c r="E34" i="8" s="1"/>
  <c r="B2" i="8"/>
  <c r="C3" i="26"/>
  <c r="H3" i="26"/>
  <c r="E1" i="8"/>
  <c r="E4" i="8"/>
  <c r="C3" i="6"/>
  <c r="K12" i="27"/>
  <c r="B12" i="3"/>
  <c r="F19" i="3" s="1"/>
  <c r="F83" i="3" s="1"/>
  <c r="B14" i="3"/>
  <c r="H19" i="3" s="1"/>
  <c r="H83" i="3" s="1"/>
  <c r="J41" i="3"/>
  <c r="B13" i="3"/>
  <c r="G19" i="3" s="1"/>
  <c r="G83" i="3" s="1"/>
  <c r="B9" i="3"/>
  <c r="C19" i="3" s="1"/>
  <c r="C83" i="3" s="1"/>
  <c r="N37" i="27"/>
  <c r="C34" i="27"/>
  <c r="M31" i="27"/>
  <c r="C3" i="27"/>
  <c r="O79" i="6"/>
  <c r="V75" i="6"/>
  <c r="L73" i="6"/>
  <c r="AP72" i="6"/>
  <c r="V72" i="6"/>
  <c r="AF70" i="6"/>
  <c r="L70" i="6"/>
  <c r="AP69" i="6"/>
  <c r="V69" i="6"/>
  <c r="AF68" i="6"/>
  <c r="L68" i="6"/>
  <c r="Y76" i="6"/>
  <c r="AP66" i="6"/>
  <c r="V66" i="6"/>
  <c r="L65" i="6"/>
  <c r="AP64" i="6"/>
  <c r="V64" i="6"/>
  <c r="AF60" i="6"/>
  <c r="L60" i="6"/>
  <c r="AF57" i="6"/>
  <c r="AF56" i="6"/>
  <c r="AM53" i="6"/>
  <c r="Z53" i="6"/>
  <c r="M53" i="6"/>
  <c r="AF50" i="6"/>
  <c r="L50" i="6"/>
  <c r="AP48" i="6"/>
  <c r="V48" i="6"/>
  <c r="AF45" i="6"/>
  <c r="L45" i="6"/>
  <c r="AP42" i="6"/>
  <c r="V42" i="6"/>
  <c r="AF36" i="6"/>
  <c r="AP34" i="6"/>
  <c r="V34" i="6"/>
  <c r="AP31" i="6"/>
  <c r="V31" i="6"/>
  <c r="L29" i="6"/>
  <c r="AF28" i="6"/>
  <c r="AP26" i="6"/>
  <c r="V26" i="6"/>
  <c r="AL79" i="6"/>
  <c r="AP79" i="6" s="1"/>
  <c r="R79" i="6"/>
  <c r="AE79" i="6"/>
  <c r="AF23" i="6"/>
  <c r="Y79" i="6"/>
  <c r="AF79" i="6" s="1"/>
  <c r="K79" i="6"/>
  <c r="L23" i="6"/>
  <c r="E79" i="6"/>
  <c r="L79" i="6" s="1"/>
  <c r="AP17" i="6"/>
  <c r="AP93" i="6" s="1"/>
  <c r="V17" i="6"/>
  <c r="V93" i="6" s="1"/>
  <c r="AS16" i="6"/>
  <c r="AS88" i="6" s="1"/>
  <c r="AS90" i="6" s="1"/>
  <c r="AS95" i="6" s="1"/>
  <c r="AR88" i="6"/>
  <c r="AR90" i="6" s="1"/>
  <c r="AR95" i="6" s="1"/>
  <c r="H95" i="6"/>
  <c r="AF15" i="6"/>
  <c r="L15" i="6"/>
  <c r="AE88" i="6"/>
  <c r="AE90" i="6" s="1"/>
  <c r="AE95" i="6" s="1"/>
  <c r="AF14" i="6"/>
  <c r="R88" i="6"/>
  <c r="R90" i="6" s="1"/>
  <c r="R95" i="6" s="1"/>
  <c r="E88" i="6"/>
  <c r="E90" i="6" s="1"/>
  <c r="E95" i="6" s="1"/>
  <c r="O95" i="6"/>
  <c r="G95" i="6"/>
  <c r="AG95" i="6"/>
  <c r="Y95" i="6"/>
  <c r="K95" i="6"/>
  <c r="AJ95" i="6"/>
  <c r="AO95" i="6"/>
  <c r="AM95" i="6"/>
  <c r="F95" i="6"/>
  <c r="C95" i="6"/>
  <c r="AA81" i="6"/>
  <c r="AS73" i="6"/>
  <c r="U76" i="6"/>
  <c r="AP55" i="6"/>
  <c r="V55" i="6"/>
  <c r="AN78" i="6"/>
  <c r="AN80" i="6" s="1"/>
  <c r="AN81" i="6" s="1"/>
  <c r="D78" i="6"/>
  <c r="D80" i="6" s="1"/>
  <c r="D81" i="6" s="1"/>
  <c r="AO53" i="6"/>
  <c r="AO78" i="6" s="1"/>
  <c r="L41" i="6"/>
  <c r="L36" i="6"/>
  <c r="L34" i="6"/>
  <c r="AS31" i="6"/>
  <c r="L31" i="6"/>
  <c r="L27" i="6"/>
  <c r="AF26" i="6"/>
  <c r="L26" i="6"/>
  <c r="AP23" i="6"/>
  <c r="V23" i="6"/>
  <c r="AF17" i="6"/>
  <c r="AF93" i="6" s="1"/>
  <c r="L17" i="6"/>
  <c r="L93" i="6" s="1"/>
  <c r="AP15" i="6"/>
  <c r="V15" i="6"/>
  <c r="AP88" i="6"/>
  <c r="AP90" i="6" s="1"/>
  <c r="AP95" i="6" s="1"/>
  <c r="AS26" i="6"/>
  <c r="AS19" i="6"/>
  <c r="Y53" i="6"/>
  <c r="Y78" i="6" s="1"/>
  <c r="AF63" i="6"/>
  <c r="L63" i="6"/>
  <c r="V58" i="6"/>
  <c r="V63" i="6"/>
  <c r="AS63" i="6"/>
  <c r="AB53" i="6"/>
  <c r="AF41" i="6"/>
  <c r="V41" i="6"/>
  <c r="Q78" i="6"/>
  <c r="Q80" i="6" s="1"/>
  <c r="Q81" i="6" s="1"/>
  <c r="N78" i="6"/>
  <c r="N80" i="6" s="1"/>
  <c r="N81" i="6" s="1"/>
  <c r="G78" i="6"/>
  <c r="G80" i="6" s="1"/>
  <c r="G81" i="6" s="1"/>
  <c r="G37" i="27"/>
  <c r="V38" i="6"/>
  <c r="U53" i="6"/>
  <c r="AI53" i="6"/>
  <c r="M78" i="6"/>
  <c r="M80" i="6" s="1"/>
  <c r="M81" i="6" s="1"/>
  <c r="L38" i="6"/>
  <c r="W78" i="6"/>
  <c r="W80" i="6" s="1"/>
  <c r="W81" i="6" s="1"/>
  <c r="AS55" i="6"/>
  <c r="L58" i="6"/>
  <c r="AE53" i="6"/>
  <c r="T78" i="6"/>
  <c r="T80" i="6" s="1"/>
  <c r="T81" i="6" s="1"/>
  <c r="J78" i="6"/>
  <c r="J80" i="6" s="1"/>
  <c r="J81" i="6" s="1"/>
  <c r="E35" i="8"/>
  <c r="F25" i="8"/>
  <c r="F17" i="8"/>
  <c r="F9" i="8"/>
  <c r="C1" i="26"/>
  <c r="AS41" i="6"/>
  <c r="AF67" i="6"/>
  <c r="AE76" i="6"/>
  <c r="V67" i="6"/>
  <c r="AH78" i="6"/>
  <c r="AH80" i="6" s="1"/>
  <c r="AH81" i="6" s="1"/>
  <c r="AD78" i="6"/>
  <c r="AD80" i="6" s="1"/>
  <c r="AD81" i="6" s="1"/>
  <c r="V65" i="6"/>
  <c r="AS65" i="6"/>
  <c r="AF65" i="6"/>
  <c r="V62" i="6"/>
  <c r="L57" i="6"/>
  <c r="AI76" i="6"/>
  <c r="AB76" i="6"/>
  <c r="O76" i="6"/>
  <c r="K76" i="6"/>
  <c r="AS57" i="6"/>
  <c r="AP56" i="6"/>
  <c r="V56" i="6"/>
  <c r="AS56" i="6"/>
  <c r="L56" i="6"/>
  <c r="H76" i="6"/>
  <c r="X78" i="6"/>
  <c r="X80" i="6" s="1"/>
  <c r="X81" i="6" s="1"/>
  <c r="R76" i="6"/>
  <c r="L62" i="6"/>
  <c r="AR76" i="6"/>
  <c r="V73" i="6"/>
  <c r="F78" i="6"/>
  <c r="F80" i="6" s="1"/>
  <c r="F81" i="6" s="1"/>
  <c r="AM78" i="6"/>
  <c r="AM80" i="6" s="1"/>
  <c r="AM81" i="6" s="1"/>
  <c r="AJ78" i="6"/>
  <c r="AJ80" i="6" s="1"/>
  <c r="AJ81" i="6" s="1"/>
  <c r="AG78" i="6"/>
  <c r="AG80" i="6" s="1"/>
  <c r="AG81" i="6" s="1"/>
  <c r="Z78" i="6"/>
  <c r="Z80" i="6" s="1"/>
  <c r="Z81" i="6" s="1"/>
  <c r="S78" i="6"/>
  <c r="S80" i="6" s="1"/>
  <c r="S81" i="6" s="1"/>
  <c r="P78" i="6"/>
  <c r="P80" i="6" s="1"/>
  <c r="P81" i="6" s="1"/>
  <c r="AQ76" i="6"/>
  <c r="I78" i="6"/>
  <c r="I80" i="6" s="1"/>
  <c r="I81" i="6" s="1"/>
  <c r="H53" i="6"/>
  <c r="AL53" i="6"/>
  <c r="AL78" i="6" s="1"/>
  <c r="AF38" i="6"/>
  <c r="AS38" i="6"/>
  <c r="V32" i="6"/>
  <c r="L32" i="6"/>
  <c r="AP28" i="6"/>
  <c r="V28" i="6"/>
  <c r="AS28" i="6"/>
  <c r="AP19" i="6"/>
  <c r="AF19" i="6"/>
  <c r="V19" i="6"/>
  <c r="AP20" i="6"/>
  <c r="AF20" i="6"/>
  <c r="V20" i="6"/>
  <c r="AS20" i="6"/>
  <c r="L20" i="6"/>
  <c r="L19" i="6"/>
  <c r="V14" i="6"/>
  <c r="V88" i="6" s="1"/>
  <c r="V90" i="6" s="1"/>
  <c r="V95" i="6" s="1"/>
  <c r="O53" i="6"/>
  <c r="L14" i="6"/>
  <c r="L88" i="6" s="1"/>
  <c r="L90" i="6" s="1"/>
  <c r="L95" i="6" s="1"/>
  <c r="AQ12" i="6"/>
  <c r="AS12" i="6" s="1"/>
  <c r="G42" i="27"/>
  <c r="G43" i="27" s="1"/>
  <c r="J62" i="3"/>
  <c r="D105" i="3"/>
  <c r="J20" i="3"/>
  <c r="C9" i="3"/>
  <c r="C16" i="3" s="1"/>
  <c r="J84" i="3"/>
  <c r="C105" i="3"/>
  <c r="J105" i="3" s="1"/>
  <c r="C26" i="27"/>
  <c r="C43" i="27"/>
  <c r="N12" i="27"/>
  <c r="N31" i="27" s="1"/>
  <c r="C31" i="27"/>
  <c r="G31" i="27" s="1"/>
  <c r="G12" i="27"/>
  <c r="AR53" i="6"/>
  <c r="C80" i="6"/>
  <c r="C81" i="6" s="1"/>
  <c r="E53" i="6"/>
  <c r="E78" i="6" s="1"/>
  <c r="E80" i="6" s="1"/>
  <c r="H9" i="6" s="1"/>
  <c r="F27" i="8"/>
  <c r="F23" i="8"/>
  <c r="F19" i="8"/>
  <c r="F15" i="8"/>
  <c r="F11" i="8"/>
  <c r="F8" i="8"/>
  <c r="F10" i="8"/>
  <c r="F12" i="8"/>
  <c r="F14" i="8"/>
  <c r="F16" i="8"/>
  <c r="F18" i="8"/>
  <c r="F20" i="8"/>
  <c r="F22" i="8"/>
  <c r="F24" i="8"/>
  <c r="F26" i="8"/>
  <c r="F28" i="8"/>
  <c r="F30" i="8"/>
  <c r="A52" i="26"/>
  <c r="A51" i="26"/>
  <c r="A50" i="26"/>
  <c r="A49" i="26"/>
  <c r="A48" i="26"/>
  <c r="A45" i="26"/>
  <c r="A44" i="26"/>
  <c r="A43" i="26"/>
  <c r="A42" i="26"/>
  <c r="A40" i="26"/>
  <c r="A39" i="26"/>
  <c r="A37" i="26"/>
  <c r="A36" i="26"/>
  <c r="A35" i="26"/>
  <c r="A34" i="26"/>
  <c r="A32" i="26"/>
  <c r="A27" i="26"/>
  <c r="A22" i="26"/>
  <c r="A21" i="26"/>
  <c r="A15" i="26"/>
  <c r="A14" i="26"/>
  <c r="I6" i="26"/>
  <c r="I82" i="26" s="1"/>
  <c r="G6" i="26"/>
  <c r="G82" i="26" s="1"/>
  <c r="E6" i="26"/>
  <c r="E82" i="26" s="1"/>
  <c r="V79" i="6" l="1"/>
  <c r="K31" i="27"/>
  <c r="K26" i="27"/>
  <c r="N26" i="27" s="1"/>
  <c r="E10" i="8"/>
  <c r="G10" i="8" s="1"/>
  <c r="E12" i="8"/>
  <c r="G12" i="8" s="1"/>
  <c r="E20" i="8"/>
  <c r="G20" i="8" s="1"/>
  <c r="E28" i="8"/>
  <c r="G28" i="8" s="1"/>
  <c r="E16" i="8"/>
  <c r="G16" i="8" s="1"/>
  <c r="E8" i="8"/>
  <c r="G8" i="8" s="1"/>
  <c r="E24" i="8"/>
  <c r="G24" i="8" s="1"/>
  <c r="E36" i="8"/>
  <c r="E29" i="8"/>
  <c r="G29" i="8" s="1"/>
  <c r="E27" i="8"/>
  <c r="G27" i="8" s="1"/>
  <c r="E25" i="8"/>
  <c r="G25" i="8" s="1"/>
  <c r="E23" i="8"/>
  <c r="G23" i="8" s="1"/>
  <c r="E21" i="8"/>
  <c r="E19" i="8"/>
  <c r="G19" i="8" s="1"/>
  <c r="E17" i="8"/>
  <c r="G17" i="8" s="1"/>
  <c r="E15" i="8"/>
  <c r="G15" i="8" s="1"/>
  <c r="E13" i="8"/>
  <c r="G13" i="8" s="1"/>
  <c r="E11" i="8"/>
  <c r="G11" i="8" s="1"/>
  <c r="E9" i="8"/>
  <c r="G9" i="8" s="1"/>
  <c r="E14" i="8"/>
  <c r="E18" i="8"/>
  <c r="G18" i="8" s="1"/>
  <c r="E22" i="8"/>
  <c r="E26" i="8"/>
  <c r="G26" i="8" s="1"/>
  <c r="E30" i="8"/>
  <c r="V12" i="6"/>
  <c r="V53" i="6" s="1"/>
  <c r="AF76" i="6"/>
  <c r="F13" i="8"/>
  <c r="F21" i="8"/>
  <c r="F29" i="8"/>
  <c r="U78" i="6"/>
  <c r="K53" i="6"/>
  <c r="K78" i="6" s="1"/>
  <c r="AF88" i="6"/>
  <c r="AF90" i="6" s="1"/>
  <c r="AF95" i="6" s="1"/>
  <c r="A10" i="26"/>
  <c r="A11" i="26"/>
  <c r="A13" i="26"/>
  <c r="A28" i="26"/>
  <c r="A30" i="26"/>
  <c r="A33" i="26"/>
  <c r="A38" i="26"/>
  <c r="A41" i="26"/>
  <c r="A57" i="26"/>
  <c r="A61" i="26"/>
  <c r="A64" i="26"/>
  <c r="A66" i="26"/>
  <c r="A63" i="26"/>
  <c r="A60" i="26"/>
  <c r="A70" i="26"/>
  <c r="D70" i="26" s="1"/>
  <c r="A72" i="26"/>
  <c r="D72" i="26" s="1"/>
  <c r="A74" i="26"/>
  <c r="D74" i="26" s="1"/>
  <c r="A76" i="26"/>
  <c r="D76" i="26" s="1"/>
  <c r="A78" i="26"/>
  <c r="D78" i="26" s="1"/>
  <c r="A84" i="26"/>
  <c r="A85" i="26"/>
  <c r="A86" i="26"/>
  <c r="A88" i="26"/>
  <c r="A89" i="26"/>
  <c r="A90" i="26"/>
  <c r="A91" i="26"/>
  <c r="A9" i="26"/>
  <c r="A20" i="26"/>
  <c r="A29" i="26"/>
  <c r="A47" i="26"/>
  <c r="A65" i="26"/>
  <c r="A58" i="26"/>
  <c r="A69" i="26"/>
  <c r="D69" i="26" s="1"/>
  <c r="A73" i="26"/>
  <c r="D73" i="26" s="1"/>
  <c r="A77" i="26"/>
  <c r="D77" i="26" s="1"/>
  <c r="A83" i="26"/>
  <c r="A12" i="26"/>
  <c r="A26" i="26"/>
  <c r="A46" i="26"/>
  <c r="A62" i="26"/>
  <c r="A75" i="26"/>
  <c r="D75" i="26" s="1"/>
  <c r="A19" i="26"/>
  <c r="A31" i="26"/>
  <c r="A56" i="26"/>
  <c r="A67" i="26"/>
  <c r="A59" i="26"/>
  <c r="A71" i="26"/>
  <c r="D71" i="26" s="1"/>
  <c r="A79" i="26"/>
  <c r="D79" i="26" s="1"/>
  <c r="A87" i="26"/>
  <c r="R78" i="6"/>
  <c r="AB78" i="6"/>
  <c r="V76" i="6"/>
  <c r="AE78" i="6"/>
  <c r="AI78" i="6"/>
  <c r="L76" i="6"/>
  <c r="AR78" i="6"/>
  <c r="AR80" i="6" s="1"/>
  <c r="AR81" i="6" s="1"/>
  <c r="AF53" i="6"/>
  <c r="AP53" i="6"/>
  <c r="AP78" i="6" s="1"/>
  <c r="L53" i="6"/>
  <c r="AS76" i="6"/>
  <c r="O78" i="6"/>
  <c r="H78" i="6"/>
  <c r="H80" i="6" s="1"/>
  <c r="AQ78" i="6"/>
  <c r="AS53" i="6"/>
  <c r="AQ53" i="6"/>
  <c r="E81" i="6"/>
  <c r="E22" i="26"/>
  <c r="F22" i="26"/>
  <c r="H22" i="26"/>
  <c r="F34" i="26"/>
  <c r="E34" i="26"/>
  <c r="H34" i="26"/>
  <c r="F36" i="26"/>
  <c r="H36" i="26"/>
  <c r="E36" i="26"/>
  <c r="F43" i="26"/>
  <c r="H43" i="26"/>
  <c r="E43" i="26"/>
  <c r="G14" i="8"/>
  <c r="G22" i="8"/>
  <c r="G30" i="8"/>
  <c r="E15" i="26"/>
  <c r="F15" i="26"/>
  <c r="H15" i="26"/>
  <c r="H49" i="26"/>
  <c r="E49" i="26"/>
  <c r="F49" i="26"/>
  <c r="H51" i="26"/>
  <c r="E51" i="26"/>
  <c r="G51" i="26" s="1"/>
  <c r="I51" i="26" s="1"/>
  <c r="F51" i="26"/>
  <c r="E14" i="26"/>
  <c r="H14" i="26"/>
  <c r="F14" i="26"/>
  <c r="E21" i="26"/>
  <c r="H21" i="26"/>
  <c r="F21" i="26"/>
  <c r="E27" i="26"/>
  <c r="F27" i="26"/>
  <c r="H27" i="26"/>
  <c r="F35" i="26"/>
  <c r="H35" i="26"/>
  <c r="E35" i="26"/>
  <c r="F37" i="26"/>
  <c r="H37" i="26"/>
  <c r="E37" i="26"/>
  <c r="E39" i="26"/>
  <c r="H39" i="26"/>
  <c r="F39" i="26"/>
  <c r="F42" i="26"/>
  <c r="H42" i="26"/>
  <c r="E42" i="26"/>
  <c r="F44" i="26"/>
  <c r="E44" i="26"/>
  <c r="H44" i="26"/>
  <c r="H48" i="26"/>
  <c r="E48" i="26"/>
  <c r="F48" i="26"/>
  <c r="H50" i="26"/>
  <c r="F50" i="26"/>
  <c r="E50" i="26"/>
  <c r="H52" i="26"/>
  <c r="E52" i="26"/>
  <c r="F52" i="26"/>
  <c r="E59" i="26" l="1"/>
  <c r="F59" i="26"/>
  <c r="H59" i="26"/>
  <c r="E19" i="26"/>
  <c r="F19" i="26"/>
  <c r="H19" i="26"/>
  <c r="F62" i="26"/>
  <c r="E62" i="26"/>
  <c r="H62" i="26"/>
  <c r="E83" i="26"/>
  <c r="F83" i="26"/>
  <c r="G83" i="26" s="1"/>
  <c r="I83" i="26" s="1"/>
  <c r="H83" i="26"/>
  <c r="E58" i="26"/>
  <c r="H58" i="26"/>
  <c r="F58" i="26"/>
  <c r="G58" i="26" s="1"/>
  <c r="I58" i="26" s="1"/>
  <c r="K58" i="26" s="1"/>
  <c r="E47" i="26"/>
  <c r="H47" i="26"/>
  <c r="F47" i="26"/>
  <c r="G47" i="26" s="1"/>
  <c r="E20" i="26"/>
  <c r="H20" i="26"/>
  <c r="F20" i="26"/>
  <c r="G20" i="26" s="1"/>
  <c r="I20" i="26" s="1"/>
  <c r="K20" i="26" s="1"/>
  <c r="H91" i="26"/>
  <c r="F91" i="26"/>
  <c r="E91" i="26"/>
  <c r="H89" i="26"/>
  <c r="E89" i="26"/>
  <c r="F89" i="26"/>
  <c r="F86" i="26"/>
  <c r="H86" i="26"/>
  <c r="E86" i="26"/>
  <c r="G86" i="26" s="1"/>
  <c r="F84" i="26"/>
  <c r="H84" i="26"/>
  <c r="E84" i="26"/>
  <c r="G84" i="26" s="1"/>
  <c r="I84" i="26" s="1"/>
  <c r="K84" i="26" s="1"/>
  <c r="E60" i="26"/>
  <c r="H60" i="26"/>
  <c r="F60" i="26"/>
  <c r="G60" i="26" s="1"/>
  <c r="F66" i="26"/>
  <c r="H66" i="26"/>
  <c r="E66" i="26"/>
  <c r="G66" i="26" s="1"/>
  <c r="I66" i="26" s="1"/>
  <c r="K66" i="26" s="1"/>
  <c r="F61" i="26"/>
  <c r="H61" i="26"/>
  <c r="E61" i="26"/>
  <c r="G61" i="26" s="1"/>
  <c r="E41" i="26"/>
  <c r="H41" i="26"/>
  <c r="F41" i="26"/>
  <c r="F40" i="26" s="1"/>
  <c r="E33" i="26"/>
  <c r="H33" i="26"/>
  <c r="H32" i="26" s="1"/>
  <c r="F33" i="26"/>
  <c r="G33" i="26" s="1"/>
  <c r="F28" i="26"/>
  <c r="F26" i="26" s="1"/>
  <c r="H28" i="26"/>
  <c r="H26" i="26" s="1"/>
  <c r="E28" i="26"/>
  <c r="G28" i="26" s="1"/>
  <c r="I28" i="26" s="1"/>
  <c r="K28" i="26" s="1"/>
  <c r="F11" i="26"/>
  <c r="E11" i="26"/>
  <c r="H11" i="26"/>
  <c r="G21" i="8"/>
  <c r="AF78" i="6"/>
  <c r="H87" i="26"/>
  <c r="F87" i="26"/>
  <c r="E87" i="26"/>
  <c r="F67" i="26"/>
  <c r="H67" i="26"/>
  <c r="E67" i="26"/>
  <c r="G67" i="26" s="1"/>
  <c r="I67" i="26" s="1"/>
  <c r="K67" i="26" s="1"/>
  <c r="F31" i="26"/>
  <c r="E31" i="26"/>
  <c r="G31" i="26" s="1"/>
  <c r="I31" i="26" s="1"/>
  <c r="K31" i="26" s="1"/>
  <c r="H31" i="26"/>
  <c r="E46" i="26"/>
  <c r="H46" i="26"/>
  <c r="F46" i="26"/>
  <c r="J20" i="27" s="1"/>
  <c r="D9" i="28" s="1"/>
  <c r="F12" i="26"/>
  <c r="H12" i="26"/>
  <c r="E12" i="26"/>
  <c r="G12" i="26" s="1"/>
  <c r="F65" i="26"/>
  <c r="E65" i="26"/>
  <c r="H65" i="26"/>
  <c r="F29" i="26"/>
  <c r="H29" i="26"/>
  <c r="E29" i="26"/>
  <c r="F90" i="26"/>
  <c r="H90" i="26"/>
  <c r="E90" i="26"/>
  <c r="G90" i="26" s="1"/>
  <c r="I90" i="26" s="1"/>
  <c r="K90" i="26" s="1"/>
  <c r="F88" i="26"/>
  <c r="E88" i="26"/>
  <c r="G88" i="26" s="1"/>
  <c r="I88" i="26" s="1"/>
  <c r="K88" i="26" s="1"/>
  <c r="H88" i="26"/>
  <c r="H85" i="26"/>
  <c r="F85" i="26"/>
  <c r="E85" i="26"/>
  <c r="G85" i="26" s="1"/>
  <c r="I85" i="26" s="1"/>
  <c r="K85" i="26" s="1"/>
  <c r="F63" i="26"/>
  <c r="E63" i="26"/>
  <c r="H63" i="26"/>
  <c r="F64" i="26"/>
  <c r="H64" i="26"/>
  <c r="E64" i="26"/>
  <c r="E57" i="26"/>
  <c r="F57" i="26"/>
  <c r="F56" i="26" s="1"/>
  <c r="H57" i="26"/>
  <c r="E38" i="26"/>
  <c r="H38" i="26"/>
  <c r="F38" i="26"/>
  <c r="G38" i="26" s="1"/>
  <c r="I38" i="26" s="1"/>
  <c r="K38" i="26" s="1"/>
  <c r="F30" i="26"/>
  <c r="E30" i="26"/>
  <c r="H30" i="26"/>
  <c r="F13" i="26"/>
  <c r="H13" i="26"/>
  <c r="E13" i="26"/>
  <c r="G13" i="26" s="1"/>
  <c r="I13" i="26" s="1"/>
  <c r="H10" i="26"/>
  <c r="E10" i="26"/>
  <c r="F10" i="26"/>
  <c r="V78" i="6"/>
  <c r="L78" i="6"/>
  <c r="AS78" i="6"/>
  <c r="AS80" i="6" s="1"/>
  <c r="AS81" i="6" s="1"/>
  <c r="H81" i="6"/>
  <c r="K9" i="6"/>
  <c r="AQ80" i="6"/>
  <c r="AQ81" i="6" s="1"/>
  <c r="G44" i="26"/>
  <c r="I44" i="26" s="1"/>
  <c r="K44" i="26" s="1"/>
  <c r="G42" i="26"/>
  <c r="I42" i="26" s="1"/>
  <c r="K42" i="26" s="1"/>
  <c r="G37" i="26"/>
  <c r="I37" i="26" s="1"/>
  <c r="K37" i="26" s="1"/>
  <c r="G27" i="26"/>
  <c r="I27" i="26" s="1"/>
  <c r="K27" i="26"/>
  <c r="G14" i="26"/>
  <c r="I14" i="26" s="1"/>
  <c r="K14" i="26" s="1"/>
  <c r="G43" i="26"/>
  <c r="I43" i="26" s="1"/>
  <c r="K43" i="26" s="1"/>
  <c r="G52" i="26"/>
  <c r="I52" i="26" s="1"/>
  <c r="K52" i="26" s="1"/>
  <c r="G50" i="26"/>
  <c r="I50" i="26" s="1"/>
  <c r="K50" i="26" s="1"/>
  <c r="G48" i="26"/>
  <c r="I48" i="26" s="1"/>
  <c r="K48" i="26" s="1"/>
  <c r="G39" i="26"/>
  <c r="I39" i="26" s="1"/>
  <c r="K39" i="26" s="1"/>
  <c r="G35" i="26"/>
  <c r="I35" i="26" s="1"/>
  <c r="K35" i="26" s="1"/>
  <c r="G21" i="26"/>
  <c r="I21" i="26" s="1"/>
  <c r="K21" i="26" s="1"/>
  <c r="G49" i="26"/>
  <c r="I49" i="26" s="1"/>
  <c r="K49" i="26" s="1"/>
  <c r="G15" i="26"/>
  <c r="I15" i="26" s="1"/>
  <c r="K15" i="26" s="1"/>
  <c r="G36" i="26"/>
  <c r="I36" i="26" s="1"/>
  <c r="K36" i="26" s="1"/>
  <c r="G34" i="26"/>
  <c r="I34" i="26" s="1"/>
  <c r="K34" i="26" s="1"/>
  <c r="E32" i="26"/>
  <c r="G22" i="26"/>
  <c r="I22" i="26" s="1"/>
  <c r="K22" i="26" s="1"/>
  <c r="H45" i="26"/>
  <c r="F32" i="26"/>
  <c r="H40" i="26"/>
  <c r="E9" i="26" l="1"/>
  <c r="G10" i="26"/>
  <c r="I10" i="26" s="1"/>
  <c r="K10" i="26" s="1"/>
  <c r="G30" i="26"/>
  <c r="I30" i="26" s="1"/>
  <c r="K30" i="26"/>
  <c r="G64" i="26"/>
  <c r="I64" i="26" s="1"/>
  <c r="K64" i="26"/>
  <c r="G63" i="26"/>
  <c r="K63" i="26"/>
  <c r="G46" i="26"/>
  <c r="I46" i="26" s="1"/>
  <c r="K46" i="26" s="1"/>
  <c r="G11" i="26"/>
  <c r="I11" i="26" s="1"/>
  <c r="K11" i="26"/>
  <c r="G41" i="26"/>
  <c r="I41" i="26" s="1"/>
  <c r="K41" i="26" s="1"/>
  <c r="H56" i="26"/>
  <c r="F45" i="26"/>
  <c r="E45" i="26"/>
  <c r="G45" i="26" s="1"/>
  <c r="I45" i="26" s="1"/>
  <c r="K45" i="26" s="1"/>
  <c r="E26" i="26"/>
  <c r="E40" i="26"/>
  <c r="G40" i="26" s="1"/>
  <c r="I40" i="26" s="1"/>
  <c r="K40" i="26" s="1"/>
  <c r="F9" i="26"/>
  <c r="O31" i="27" s="1"/>
  <c r="D7" i="28" s="1"/>
  <c r="H9" i="26"/>
  <c r="G57" i="26"/>
  <c r="I57" i="26" s="1"/>
  <c r="K57" i="26" s="1"/>
  <c r="E56" i="26"/>
  <c r="G56" i="26" s="1"/>
  <c r="I56" i="26" s="1"/>
  <c r="K56" i="26" s="1"/>
  <c r="I63" i="26"/>
  <c r="G29" i="26"/>
  <c r="I29" i="26" s="1"/>
  <c r="K29" i="26" s="1"/>
  <c r="G65" i="26"/>
  <c r="I65" i="26" s="1"/>
  <c r="K65" i="26" s="1"/>
  <c r="I12" i="26"/>
  <c r="K12" i="26" s="1"/>
  <c r="G87" i="26"/>
  <c r="I87" i="26" s="1"/>
  <c r="K87" i="26" s="1"/>
  <c r="I33" i="26"/>
  <c r="K33" i="26" s="1"/>
  <c r="I61" i="26"/>
  <c r="K61" i="26" s="1"/>
  <c r="I60" i="26"/>
  <c r="K60" i="26" s="1"/>
  <c r="I86" i="26"/>
  <c r="K86" i="26" s="1"/>
  <c r="G89" i="26"/>
  <c r="I89" i="26" s="1"/>
  <c r="K89" i="26" s="1"/>
  <c r="G91" i="26"/>
  <c r="I91" i="26" s="1"/>
  <c r="K91" i="26" s="1"/>
  <c r="I47" i="26"/>
  <c r="K47" i="26" s="1"/>
  <c r="K83" i="26"/>
  <c r="G62" i="26"/>
  <c r="I62" i="26" s="1"/>
  <c r="K62" i="26"/>
  <c r="G19" i="26"/>
  <c r="I19" i="26" s="1"/>
  <c r="K19" i="26" s="1"/>
  <c r="G59" i="26"/>
  <c r="I59" i="26" s="1"/>
  <c r="K59" i="26" s="1"/>
  <c r="L9" i="6"/>
  <c r="L80" i="6" s="1"/>
  <c r="L81" i="6" s="1"/>
  <c r="K80" i="6"/>
  <c r="G26" i="26"/>
  <c r="I26" i="26" s="1"/>
  <c r="K26" i="26" s="1"/>
  <c r="E24" i="26"/>
  <c r="G32" i="26"/>
  <c r="I32" i="26" s="1"/>
  <c r="K32" i="26" s="1"/>
  <c r="G9" i="26" l="1"/>
  <c r="I9" i="26" s="1"/>
  <c r="K9" i="26" s="1"/>
  <c r="O9" i="6"/>
  <c r="O80" i="6" s="1"/>
  <c r="K81" i="6"/>
  <c r="J12" i="27"/>
  <c r="D8" i="28" s="1"/>
  <c r="J25" i="27"/>
  <c r="R9" i="6" l="1"/>
  <c r="R80" i="6" s="1"/>
  <c r="O81" i="6"/>
  <c r="U9" i="6" l="1"/>
  <c r="R81" i="6"/>
  <c r="V9" i="6" l="1"/>
  <c r="V80" i="6" s="1"/>
  <c r="V81" i="6" s="1"/>
  <c r="U80" i="6"/>
  <c r="U81" i="6" l="1"/>
  <c r="Y9" i="6"/>
  <c r="Y80" i="6" s="1"/>
  <c r="Y81" i="6" l="1"/>
  <c r="AB9" i="6"/>
  <c r="AB80" i="6" s="1"/>
  <c r="AB81" i="6" l="1"/>
  <c r="AE9" i="6"/>
  <c r="AF9" i="6" l="1"/>
  <c r="AF80" i="6" s="1"/>
  <c r="AF81" i="6" s="1"/>
  <c r="AE80" i="6"/>
  <c r="AI9" i="6" l="1"/>
  <c r="AI80" i="6" s="1"/>
  <c r="AE81" i="6"/>
  <c r="AL9" i="6" l="1"/>
  <c r="AL80" i="6" s="1"/>
  <c r="AI81" i="6"/>
  <c r="AO9" i="6" l="1"/>
  <c r="AL81" i="6"/>
  <c r="AP9" i="6" l="1"/>
  <c r="AP80" i="6" s="1"/>
  <c r="AP81" i="6" s="1"/>
  <c r="AO80" i="6"/>
  <c r="AO81" i="6" s="1"/>
</calcChain>
</file>

<file path=xl/sharedStrings.xml><?xml version="1.0" encoding="utf-8"?>
<sst xmlns="http://schemas.openxmlformats.org/spreadsheetml/2006/main" count="1239" uniqueCount="875">
  <si>
    <t>VERSIONE</t>
  </si>
  <si>
    <t>MESE</t>
  </si>
  <si>
    <t>PERIODO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</si>
  <si>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</si>
  <si>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</si>
  <si>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</si>
  <si>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</si>
  <si>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</si>
  <si>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</si>
  <si>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</si>
  <si>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</si>
  <si>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</si>
  <si>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</si>
  <si>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</si>
  <si>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</si>
  <si>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</si>
  <si>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</si>
  <si>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</si>
  <si>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</si>
  <si>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702</t>
  </si>
  <si>
    <t>ASST SANTI PAOLO E CARLO</t>
  </si>
  <si>
    <t>2017</t>
  </si>
  <si>
    <t>Flussi di cassa</t>
  </si>
  <si>
    <t>FLCP01.V1</t>
  </si>
  <si>
    <t>16/02/2017  9:11:50</t>
  </si>
  <si>
    <t>FL17_01</t>
  </si>
  <si>
    <t>01</t>
  </si>
  <si>
    <t>NUM_MESE</t>
  </si>
  <si>
    <t>MESI</t>
  </si>
  <si>
    <t>01_Gennaio</t>
  </si>
  <si>
    <t>02</t>
  </si>
  <si>
    <t>02_Febbraio</t>
  </si>
  <si>
    <t>03</t>
  </si>
  <si>
    <t>03_Marzo</t>
  </si>
  <si>
    <t>04</t>
  </si>
  <si>
    <t>04_Aprile</t>
  </si>
  <si>
    <t>05</t>
  </si>
  <si>
    <t>05_Maggio</t>
  </si>
  <si>
    <t>06</t>
  </si>
  <si>
    <t>06_Giugno</t>
  </si>
  <si>
    <t>07</t>
  </si>
  <si>
    <t>07_Luglio</t>
  </si>
  <si>
    <t>08</t>
  </si>
  <si>
    <t>08_Agosto</t>
  </si>
  <si>
    <t>09</t>
  </si>
  <si>
    <t>09_Settembre</t>
  </si>
  <si>
    <t>10</t>
  </si>
  <si>
    <t>10_Ottobre</t>
  </si>
  <si>
    <t>11</t>
  </si>
  <si>
    <t>11_Novembre</t>
  </si>
  <si>
    <t>12</t>
  </si>
  <si>
    <t>12_Dicembre</t>
  </si>
  <si>
    <t>Azienda</t>
  </si>
  <si>
    <t>Anno</t>
  </si>
  <si>
    <t>Modulo</t>
  </si>
  <si>
    <t/>
  </si>
  <si>
    <t>Versione decreti</t>
  </si>
  <si>
    <t>Versione</t>
  </si>
  <si>
    <t>Mese aggiornamento</t>
  </si>
  <si>
    <t xml:space="preserve">Data </t>
  </si>
  <si>
    <t xml:space="preserve">  !! INSERIRE LA DATA DI COMPILAZIONE !!</t>
  </si>
  <si>
    <t>vers. modello 1.0 - Febbraio 2017</t>
  </si>
  <si>
    <t>ASL MILANO N° 3</t>
  </si>
  <si>
    <t>PRE2</t>
  </si>
  <si>
    <t>ASL PAVIA</t>
  </si>
  <si>
    <t>PRE3</t>
  </si>
  <si>
    <t>ASL SONDRIO</t>
  </si>
  <si>
    <t>PRE4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</si>
  <si>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</si>
  <si>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</si>
  <si>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</si>
  <si>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</si>
  <si>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</si>
  <si>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</si>
  <si>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</si>
  <si>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</si>
  <si>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</si>
  <si>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</si>
  <si>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</si>
  <si>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</si>
  <si>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</si>
  <si>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</si>
  <si>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</si>
  <si>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</si>
  <si>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</si>
  <si>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</si>
  <si>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</si>
  <si>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</si>
  <si>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</si>
  <si>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</si>
  <si>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</si>
  <si>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</si>
  <si>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</si>
  <si>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</si>
  <si>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CIVILE -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</si>
  <si>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</si>
  <si>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</si>
  <si>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</si>
  <si>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</si>
  <si>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</si>
  <si>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</si>
  <si>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</si>
  <si>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</si>
  <si>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</si>
  <si>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XXX</t>
  </si>
  <si>
    <t>--</t>
  </si>
  <si>
    <t>(valori in migliaia di Euro)</t>
  </si>
  <si>
    <t>ASSEGNAZIONE SAN</t>
  </si>
  <si>
    <t>ASSEGNAZIONE AREU</t>
  </si>
  <si>
    <t>ASSEGNAZIONE TOTALE</t>
  </si>
  <si>
    <t>Controllo quadratura</t>
  </si>
  <si>
    <t>Sezione A:</t>
  </si>
  <si>
    <t>ASSEGNAZIONE E VALIDAZIONE CONTRIBUTI REGIONALI</t>
  </si>
  <si>
    <t>A1TOT</t>
  </si>
  <si>
    <t>1)</t>
  </si>
  <si>
    <t>Contributi in c/esercizio da Regione - FSR INDISTINTO</t>
  </si>
  <si>
    <t>AOIR14</t>
  </si>
  <si>
    <t>Contributo da destinare al finanziamento del Pssr, progetti obiettivo, miglioramento qualità offerta e realizzazione piani di sviluppo regionali</t>
  </si>
  <si>
    <t>AOIR02</t>
  </si>
  <si>
    <t xml:space="preserve">Funzioni non tariffate </t>
  </si>
  <si>
    <t>AOIR11</t>
  </si>
  <si>
    <t>Altri Contributi in c/esercizio da Regione - FSR Indistinto</t>
  </si>
  <si>
    <t>Altri contributi da Regione per servizi socio-sanitari (ASSI)-(FSR indistinto)</t>
  </si>
  <si>
    <t>2)</t>
  </si>
  <si>
    <t>Contributi in c/esercizio da Regione - FSR VINCOLATO</t>
  </si>
  <si>
    <t>3)</t>
  </si>
  <si>
    <t>Contributi in c/esercizio da Regione - EXTRA FONDO</t>
  </si>
  <si>
    <t>Sezione B:</t>
  </si>
  <si>
    <t>VALIDAZIONE RICAVI E ALTRI CONTRIBUTI</t>
  </si>
  <si>
    <t>AOIR12</t>
  </si>
  <si>
    <t>4)</t>
  </si>
  <si>
    <t xml:space="preserve">Altri Contributi: Enti Pubblici e Privati </t>
  </si>
  <si>
    <t>AOIR06</t>
  </si>
  <si>
    <t>5)</t>
  </si>
  <si>
    <t>Entrate proprie - Vincolo</t>
  </si>
  <si>
    <t>AOIR13</t>
  </si>
  <si>
    <t>6)</t>
  </si>
  <si>
    <t>Proventi Finanziari e Straordinari</t>
  </si>
  <si>
    <t>AOIR10</t>
  </si>
  <si>
    <t>7)</t>
  </si>
  <si>
    <t>Utilizzo Contributi anni precedenti</t>
  </si>
  <si>
    <t>Sezione C:</t>
  </si>
  <si>
    <t>RICAVI DI PRODUZIONE</t>
  </si>
  <si>
    <t>C8TOT</t>
  </si>
  <si>
    <t>8)</t>
  </si>
  <si>
    <t>Prestazioni di ricovero</t>
  </si>
  <si>
    <t>AOIR01</t>
  </si>
  <si>
    <t>Lombardi</t>
  </si>
  <si>
    <t xml:space="preserve">Legge 7 </t>
  </si>
  <si>
    <t>Mobilità attiva extraregione</t>
  </si>
  <si>
    <t>Mobilità attiva internazionale (oneri 7)</t>
  </si>
  <si>
    <t>Stranieri (oneri 8, 9 e altri)</t>
  </si>
  <si>
    <t>C9TOT</t>
  </si>
  <si>
    <t>9)</t>
  </si>
  <si>
    <t>Prestazioni specialistica ambulatoriale</t>
  </si>
  <si>
    <t>AOIR03</t>
  </si>
  <si>
    <t>Lombardi (compreso screening 1° e 2° livello)</t>
  </si>
  <si>
    <t>AOIR05</t>
  </si>
  <si>
    <t>Screening</t>
  </si>
  <si>
    <t>Stranieri (oneri 9 e altri)</t>
  </si>
  <si>
    <t>AOIR04</t>
  </si>
  <si>
    <t>10)</t>
  </si>
  <si>
    <t>Prestazioni Neuropsichiatria Infantile (compreso fuori regione e progetti)</t>
  </si>
  <si>
    <t>AOIR08</t>
  </si>
  <si>
    <t>11)</t>
  </si>
  <si>
    <t>Prestazioni di Psichiatria (compreso fuori regione e progetti)</t>
  </si>
  <si>
    <t>C12TOT</t>
  </si>
  <si>
    <t>12)</t>
  </si>
  <si>
    <t>Farmaci di file F</t>
  </si>
  <si>
    <t>AOIR09</t>
  </si>
  <si>
    <t xml:space="preserve">File F lombardi compreso carcerati </t>
  </si>
  <si>
    <t>File F HCV</t>
  </si>
  <si>
    <t>File F fuori regione</t>
  </si>
  <si>
    <t>File F stranieri</t>
  </si>
  <si>
    <t>C13TOT</t>
  </si>
  <si>
    <t>13)</t>
  </si>
  <si>
    <t>Prestazioni sanitarie</t>
  </si>
  <si>
    <t>AOIR15</t>
  </si>
  <si>
    <t>Doppio canale e Primo ciclo lombardi</t>
  </si>
  <si>
    <t>Doppio canale e Primo ciclo fuori regione</t>
  </si>
  <si>
    <t>Doppio canale e Primo ciclo stranieri</t>
  </si>
  <si>
    <t>Subacuti</t>
  </si>
  <si>
    <t>Reti sanitarie</t>
  </si>
  <si>
    <t>Hospice</t>
  </si>
  <si>
    <t>Atre prestazioni sanitarie</t>
  </si>
  <si>
    <t>Sezione D:</t>
  </si>
  <si>
    <t>COSTI - (vincoli di costo secondo le specifiche del testo del Decreto)</t>
  </si>
  <si>
    <t>D1TOT</t>
  </si>
  <si>
    <t>Totale costi (al netto della ALP e dei costi capitalizzati)</t>
  </si>
  <si>
    <t>AOIC01</t>
  </si>
  <si>
    <t>Costo del personale (escluso Irap)</t>
  </si>
  <si>
    <t>ONPERS</t>
  </si>
  <si>
    <t>Personale con oneri riflessi</t>
  </si>
  <si>
    <t>ONCOMP</t>
  </si>
  <si>
    <t>RAR comparto con oneri riflessi</t>
  </si>
  <si>
    <t>ONDIR</t>
  </si>
  <si>
    <t>RAR dirigenza con oneri riflessi</t>
  </si>
  <si>
    <t>AOIC02</t>
  </si>
  <si>
    <t>Irap (su personale dipendente)</t>
  </si>
  <si>
    <t>AOIC04</t>
  </si>
  <si>
    <t>Beni e servizi</t>
  </si>
  <si>
    <t>AOIC17</t>
  </si>
  <si>
    <t>Integrativa e protesica</t>
  </si>
  <si>
    <t>AOIC06</t>
  </si>
  <si>
    <t>Altri costi</t>
  </si>
  <si>
    <t>AOIC05</t>
  </si>
  <si>
    <t>Ammortamenti (al netto dei costi capitalizzati)</t>
  </si>
  <si>
    <t>AOIC07</t>
  </si>
  <si>
    <t>Accantonamenti</t>
  </si>
  <si>
    <t>AOIC08</t>
  </si>
  <si>
    <t>Oneri finanziari e straordinari</t>
  </si>
  <si>
    <t>NOTA0</t>
  </si>
  <si>
    <t>NOTE:</t>
  </si>
  <si>
    <t>NOTA1</t>
  </si>
  <si>
    <t>NOTA2</t>
  </si>
  <si>
    <t>NOTA3</t>
  </si>
  <si>
    <t>NOTA4</t>
  </si>
  <si>
    <t>NOTA5</t>
  </si>
  <si>
    <t>NOTA6</t>
  </si>
  <si>
    <t>NOTA7</t>
  </si>
  <si>
    <t>NOTA8</t>
  </si>
  <si>
    <t>NOTA9</t>
  </si>
  <si>
    <t>NOTA10</t>
  </si>
  <si>
    <t>ASSEGNAZIONE SALUTE</t>
  </si>
  <si>
    <t>TRIC_NOALP</t>
  </si>
  <si>
    <t>TOTALE RICAVI AL NETTO ALP</t>
  </si>
  <si>
    <t>TCOS_NOALP</t>
  </si>
  <si>
    <t>TOTALE COSTI AL NETTO ALP</t>
  </si>
  <si>
    <t>AOIR07</t>
  </si>
  <si>
    <t>RICAVI: Libera professione (art. 55 CCNL)</t>
  </si>
  <si>
    <t>AOIC03</t>
  </si>
  <si>
    <t>COSTI: Libera professione (art. 55 CCNL) + IRAP</t>
  </si>
  <si>
    <t>AOIR11_R</t>
  </si>
  <si>
    <t>Rettifica  - Contributi da Regione per quota F.S. Regionale</t>
  </si>
  <si>
    <t>AOIR12_R</t>
  </si>
  <si>
    <t>Rettifica  - altri contributi</t>
  </si>
  <si>
    <t>TOTRIC</t>
  </si>
  <si>
    <t xml:space="preserve">TOTALE RICAVI </t>
  </si>
  <si>
    <t>TOTCOS</t>
  </si>
  <si>
    <t xml:space="preserve">TOTALE COSTI </t>
  </si>
  <si>
    <t>RISES</t>
  </si>
  <si>
    <t>RISULTATO D'ESERCIZIO</t>
  </si>
  <si>
    <t>Azienda:</t>
  </si>
  <si>
    <t>Codice NI Regione</t>
  </si>
  <si>
    <t>Sanitario</t>
  </si>
  <si>
    <t>Territoriale</t>
  </si>
  <si>
    <t>SAN+TER</t>
  </si>
  <si>
    <t>Credito v/Regione</t>
  </si>
  <si>
    <t>Ricavo</t>
  </si>
  <si>
    <t>Descrizione dettaglio</t>
  </si>
  <si>
    <t>ASSEGN.1</t>
  </si>
  <si>
    <t>1.20.20.20.010.030.40.000</t>
  </si>
  <si>
    <t>4.10.10.10.045.000.00.000</t>
  </si>
  <si>
    <t>Contributo Pssr, progetti obiettivo, etc. - FSR Indistinto</t>
  </si>
  <si>
    <t>ASSEGN.2</t>
  </si>
  <si>
    <t>1.20.20.20.010.030.30.000</t>
  </si>
  <si>
    <t>4.10.10.10.020.000.00.000</t>
  </si>
  <si>
    <t>Funzioni non tariffate - FSR Indistinto</t>
  </si>
  <si>
    <t>ASSEGN.3</t>
  </si>
  <si>
    <t>ASSEGN.4</t>
  </si>
  <si>
    <t>1.20.20.20.010.090.00.000</t>
  </si>
  <si>
    <t>4.10.10.10.090.000.00.000</t>
  </si>
  <si>
    <t>Equiparazione finanziaria</t>
  </si>
  <si>
    <t>ASSEGN.5</t>
  </si>
  <si>
    <t>RAR (compresi oneri e Irap)</t>
  </si>
  <si>
    <t>ASSEGN.6</t>
  </si>
  <si>
    <t>Sanità penitenziaria</t>
  </si>
  <si>
    <t>ASSEGN.7</t>
  </si>
  <si>
    <t>Contributo riallineamento funzioni anno 2014</t>
  </si>
  <si>
    <t>ASSEGN.8</t>
  </si>
  <si>
    <t>Contributo riallineamento funzioni anno 2013</t>
  </si>
  <si>
    <t>ASSEGN.9</t>
  </si>
  <si>
    <t>Contributo abbattimento File F</t>
  </si>
  <si>
    <t>ASSEGN.10</t>
  </si>
  <si>
    <t>Contributo per accantonamenti franchigie/SIR e autoassicurazione</t>
  </si>
  <si>
    <t>ASSEGN.11</t>
  </si>
  <si>
    <t>Contributo per riconoscimento costi specifici</t>
  </si>
  <si>
    <t>ASSEGN.12</t>
  </si>
  <si>
    <t>Contributi Nuovi Ospedali</t>
  </si>
  <si>
    <t>ASSEGN.13</t>
  </si>
  <si>
    <t>Altri contributi regione: progetti</t>
  </si>
  <si>
    <t>ASSEGN.14</t>
  </si>
  <si>
    <t>Altri contributi regione: storicizzazione anni precedenti</t>
  </si>
  <si>
    <t>ASSEGN.15</t>
  </si>
  <si>
    <t>4.10.10.10.015.000.00.000</t>
  </si>
  <si>
    <t>Altri contributi regione: TERRITORIALE</t>
  </si>
  <si>
    <t>ASSEGN.16</t>
  </si>
  <si>
    <t>4.10.10.10.095.000.00.000</t>
  </si>
  <si>
    <t>Altri contributi da Regione per servizi socio-sanitari (ASSI)-(FSR indistinto) Contributo regionale</t>
  </si>
  <si>
    <t>ASSEGN.17</t>
  </si>
  <si>
    <t>ASSEGN.18</t>
  </si>
  <si>
    <t>1.20.20.20.010.030.50.000</t>
  </si>
  <si>
    <t>4.10.10.10.210.000.00.000</t>
  </si>
  <si>
    <t>AIDS (L. 135/90) Formazione</t>
  </si>
  <si>
    <t>ASSEGN.19</t>
  </si>
  <si>
    <t>Medicina Penitenziaria</t>
  </si>
  <si>
    <t>ASSEGN.20</t>
  </si>
  <si>
    <t>Altri contributi FSR vincolato</t>
  </si>
  <si>
    <t>ASSEGN.21</t>
  </si>
  <si>
    <t>ASSEGN.22</t>
  </si>
  <si>
    <t>1.20.20.20.010.030.60.000</t>
  </si>
  <si>
    <t>4.10.10.20.010.030.00.000</t>
  </si>
  <si>
    <t>Altri contributi Extra Fondo</t>
  </si>
  <si>
    <t>ASSEGN.23</t>
  </si>
  <si>
    <t>Patrimonio Netto</t>
  </si>
  <si>
    <t>ASSEGN.30</t>
  </si>
  <si>
    <t>1.20.20.20.020.010.00.000</t>
  </si>
  <si>
    <t>3.10.20.30.000.000.00.000</t>
  </si>
  <si>
    <t>CONTRIBUTO IN C/CAPITALE per Protesica Maggiore Investimenti</t>
  </si>
  <si>
    <t>B.II.2.b.1) Crediti v/Regione o Provincia Autonoma per finanziamenti per investimenti</t>
  </si>
  <si>
    <t>A.II.3) Finanziamenti da Regione per investimenti</t>
  </si>
  <si>
    <t>DENOMINAZIONE</t>
  </si>
  <si>
    <t xml:space="preserve">CODICE </t>
  </si>
  <si>
    <t xml:space="preserve">I TRIMESTRE </t>
  </si>
  <si>
    <t xml:space="preserve">II TRIMESTRE </t>
  </si>
  <si>
    <t xml:space="preserve">III TRIMESTRE </t>
  </si>
  <si>
    <t xml:space="preserve">IV TRIMESTRE </t>
  </si>
  <si>
    <t>TOTALE ANNO DI COMPETENZA</t>
  </si>
  <si>
    <t>TOTALE ANNI PREGRESSI</t>
  </si>
  <si>
    <t>COMPLESSIVO CASSA</t>
  </si>
  <si>
    <t xml:space="preserve">DESCRIZIONE MOVIMENTI </t>
  </si>
  <si>
    <t>GENNAIO</t>
  </si>
  <si>
    <t>FEBBRAIO</t>
  </si>
  <si>
    <t>MARZO</t>
  </si>
  <si>
    <t>SALDO TRIMESTRE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</si>
  <si>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</si>
  <si>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</si>
  <si>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</si>
  <si>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</si>
  <si>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</si>
  <si>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</si>
  <si>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</si>
  <si>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</si>
  <si>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</si>
  <si>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COMPETENZA ESERCIZIO</t>
  </si>
  <si>
    <t>COMPETENZA ANNI PRECEDENTI</t>
  </si>
  <si>
    <t>TOTALE MESE</t>
  </si>
  <si>
    <t xml:space="preserve">SALDO INIZIALE DI TESORERIA </t>
  </si>
  <si>
    <t>ENTRATE CORRENTI</t>
  </si>
  <si>
    <t>da Regione</t>
  </si>
  <si>
    <t>SINT.IN.RL.1</t>
  </si>
  <si>
    <t xml:space="preserve"> - per Contributi in c/esercizio da Regione - FSR INDISTINTO</t>
  </si>
  <si>
    <t>SINT.IN.RL.111</t>
  </si>
  <si>
    <t xml:space="preserve"> - di cui rete territoriale ex L.R.23/2015</t>
  </si>
  <si>
    <t>SINT.IN.RL.2</t>
  </si>
  <si>
    <t xml:space="preserve"> - di cui SAN (polo ospedaliero)</t>
  </si>
  <si>
    <t>SINT.IN.RL.4</t>
  </si>
  <si>
    <t xml:space="preserve"> - per Contributi in c/esercizio da Regione - FSR VINCOLATO</t>
  </si>
  <si>
    <t>SINT.IN.RL.5</t>
  </si>
  <si>
    <t xml:space="preserve"> - per Contributi in c/esercizio da Regione - EXTRA FONDO</t>
  </si>
  <si>
    <t>SINT.IN.RL.112</t>
  </si>
  <si>
    <t xml:space="preserve"> - per beni e servizi centralizzati (Entrate virtuali a valere sul sistema G3S) RETE TERRITORIALE - IN COMPENSAZIONE</t>
  </si>
  <si>
    <t>da propria ATS per competenza POLO OSPEDALIERO</t>
  </si>
  <si>
    <t>SINT.IN.RL.114</t>
  </si>
  <si>
    <t xml:space="preserve"> - per produzione (cassa reale)</t>
  </si>
  <si>
    <t>SINT.IN.RL.115</t>
  </si>
  <si>
    <t xml:space="preserve"> - per beni e servizi centralizzati (Entrate virtuali a valere sul sistema G3S) POLO OSPEDALIERO - IN COMPENSAZIONE</t>
  </si>
  <si>
    <t>da propria ATS per competenza RETE TERRITORIALE</t>
  </si>
  <si>
    <t>SINT.IN.RL.117</t>
  </si>
  <si>
    <t xml:space="preserve"> - per gestioni dirette ex ASL Milano 1 e ASL Brescia</t>
  </si>
  <si>
    <t>SINT.IN.RL.118</t>
  </si>
  <si>
    <t xml:space="preserve"> - per cassa reale del territorio (es. IVA split)</t>
  </si>
  <si>
    <t>SINT.IN.RL.119</t>
  </si>
  <si>
    <t xml:space="preserve"> - per beni e servizi centralizzati (Tipologia 13/doppio canale) Entrate virtuali a valere sul sistema G3S</t>
  </si>
  <si>
    <t>da altri soggetti della regione</t>
  </si>
  <si>
    <t>SINT.IN.ALTRORL.8</t>
  </si>
  <si>
    <t xml:space="preserve"> - da AREU</t>
  </si>
  <si>
    <t>SINT.IN.ALTRORL.9</t>
  </si>
  <si>
    <t xml:space="preserve"> - da ARPA</t>
  </si>
  <si>
    <t>SINT.IN.ALTRORL.3</t>
  </si>
  <si>
    <t xml:space="preserve"> - da ATS/ASST/IRCCS della Regione</t>
  </si>
  <si>
    <t>SINT.IN.ALTRORL.10</t>
  </si>
  <si>
    <t xml:space="preserve"> - incassi ex gestione transitoria L.R.23/2015</t>
  </si>
  <si>
    <t xml:space="preserve">da altri soggetti </t>
  </si>
  <si>
    <t>SINT.IN.ALTRORL.115</t>
  </si>
  <si>
    <t xml:space="preserve"> - rimborsi dalle prefetture per stranieri STP</t>
  </si>
  <si>
    <t>SINT.IN.ALTRORL.116</t>
  </si>
  <si>
    <t xml:space="preserve"> - da Erogatori sanitari Privati </t>
  </si>
  <si>
    <t>SINT.IN.ALTRORL.117</t>
  </si>
  <si>
    <t xml:space="preserve"> - da altre Aziende Sanitarie fuori regione</t>
  </si>
  <si>
    <t>SINT.IN.ALTROS.1</t>
  </si>
  <si>
    <t xml:space="preserve"> - da Comune</t>
  </si>
  <si>
    <t>SINT.IN.ALTROS.2</t>
  </si>
  <si>
    <t xml:space="preserve"> - da Erario</t>
  </si>
  <si>
    <t>SINT.IN.ALTRORL.118</t>
  </si>
  <si>
    <t xml:space="preserve"> - da Stato per ricerca (solo per IRCCS)</t>
  </si>
  <si>
    <t>da entrate proprie</t>
  </si>
  <si>
    <t>SINT.IN.PROPRIE.1</t>
  </si>
  <si>
    <t xml:space="preserve"> - Entrate proprie</t>
  </si>
  <si>
    <t>SINT.IN.PROPRIE.112</t>
  </si>
  <si>
    <t xml:space="preserve"> - Altre entrate proprie per gestione territoriale</t>
  </si>
  <si>
    <t>ENTRATE PER INVESTIMENTI</t>
  </si>
  <si>
    <t>SINT.IN.INV.1</t>
  </si>
  <si>
    <t xml:space="preserve"> - finanziamenti pe investimenti da Regione</t>
  </si>
  <si>
    <t>SINT.IN.INV.2</t>
  </si>
  <si>
    <t xml:space="preserve"> - finanziamenti pe investimenti da Stato</t>
  </si>
  <si>
    <t>SINT.IN.INV.3</t>
  </si>
  <si>
    <t xml:space="preserve"> - finanziamenti pe investimenti da Unione Europea</t>
  </si>
  <si>
    <t>SINT.IN.INV.4</t>
  </si>
  <si>
    <t>finanziamenti pe investimenti da altri:</t>
  </si>
  <si>
    <t>SINT.IN.INV.5</t>
  </si>
  <si>
    <t xml:space="preserve"> - per vendite patrimoniali</t>
  </si>
  <si>
    <t>SINT.IN.INV.6</t>
  </si>
  <si>
    <t>- finanziamenti per investimenti da altri</t>
  </si>
  <si>
    <t>ALTRE ENTRATE</t>
  </si>
  <si>
    <t>SINT.IN.ALTRO.1</t>
  </si>
  <si>
    <t xml:space="preserve"> - per disaccantonamenti</t>
  </si>
  <si>
    <t>SINT.IN.ALTRO.2</t>
  </si>
  <si>
    <t xml:space="preserve"> - per mutui attivati</t>
  </si>
  <si>
    <t>SINT.IN.ALTRO.3</t>
  </si>
  <si>
    <t xml:space="preserve"> - per vendita titoli</t>
  </si>
  <si>
    <t>ENTRATE STRAORDINARIE</t>
  </si>
  <si>
    <t>SINT.IN.EXTRA.1</t>
  </si>
  <si>
    <t xml:space="preserve"> - per quota straordinaria da regione ex L.R. n.24/2014</t>
  </si>
  <si>
    <t>SINT.IN.TOT.99</t>
  </si>
  <si>
    <t>TOTALE ENTRATE</t>
  </si>
  <si>
    <t>USCITE CORRENTI</t>
  </si>
  <si>
    <t>SINT.OUT.CORR.1</t>
  </si>
  <si>
    <t>Pagamenti personale dipendente</t>
  </si>
  <si>
    <t>SINT.OUT.CORR.2</t>
  </si>
  <si>
    <t>Pagamenti personale non strutturato (collaborazioni, interinali, ecc.)</t>
  </si>
  <si>
    <t>SINT.OUT.CORR.3</t>
  </si>
  <si>
    <t>Pagamenti per IRAP, IRPEF, altri contributi</t>
  </si>
  <si>
    <t>SINT.OUT.CORR.111</t>
  </si>
  <si>
    <t>Pagamenti beni e servizi G3S (quota imponibile) POLO OSPEDALIERO - al netto IVA split</t>
  </si>
  <si>
    <t>SINT.OUT.CORR.112</t>
  </si>
  <si>
    <t>Pagamenti beni e servizi G3S (quota imponibile) RETE TERRITORIALE - al netto IVA split - in compensazione con Regione</t>
  </si>
  <si>
    <t>SINT.OUT.CORR.113</t>
  </si>
  <si>
    <t>Pagamenti beni e servizi G3S (quota imponibile) RETE TERRITORIALE - al netto IVA split - in compensazione con ATS</t>
  </si>
  <si>
    <t>SINT.OUT.CORR.114</t>
  </si>
  <si>
    <t>Pagamenti rete territoriale ex L.R. 23/2015 (Personale dip e non, beni e servizi a gestione diretta, altre voci) - al netto IVA split</t>
  </si>
  <si>
    <t>SINT.OUT.CORR.115</t>
  </si>
  <si>
    <t>Pagamenti beni e servizi a gestione diretta (quota imponibile) - al netto IVA split</t>
  </si>
  <si>
    <t>SINT.OUT.CORR.116</t>
  </si>
  <si>
    <t>Pagamenti IVA split (SAN)</t>
  </si>
  <si>
    <t>SINT.OUT.CORR.117</t>
  </si>
  <si>
    <t>Pagamenti IVA split TER</t>
  </si>
  <si>
    <t>SINT.OUT.CORR.118</t>
  </si>
  <si>
    <t>Pagamenti servizi sanitari verso ATS/ASST/IRCCS, della Regione e AREU (intercompany)</t>
  </si>
  <si>
    <t>SINT.OUT.CORR.119</t>
  </si>
  <si>
    <t>Pagamento servizi santari verso altri enti pubblici</t>
  </si>
  <si>
    <t>SINT.OUT.CORR.120</t>
  </si>
  <si>
    <t>Pagamento servizi santari verso erogatori privati</t>
  </si>
  <si>
    <t>SINT.OUT.CORR.121</t>
  </si>
  <si>
    <t>Pagamenti per ricerca (IRCCS)</t>
  </si>
  <si>
    <t>SINT.OUT.CORR.123</t>
  </si>
  <si>
    <t>Restituzione anticipi ATS per rimborsi prefetture STRANIERI STP</t>
  </si>
  <si>
    <t>SINT.OUT.CORR.24</t>
  </si>
  <si>
    <t>Pagamenti ex gestione transitoria L.R.23/2015</t>
  </si>
  <si>
    <t>USCITE PER INVESTIMENTI</t>
  </si>
  <si>
    <t>SINT.OUT.INV.1</t>
  </si>
  <si>
    <t>Rimborso mutui/altri finanziamenti</t>
  </si>
  <si>
    <t>SINT.OUT.INV.2</t>
  </si>
  <si>
    <t>Pagamenti SAL/fornitori per investimenti</t>
  </si>
  <si>
    <t>ALTRE USCITE</t>
  </si>
  <si>
    <t>SINT.OUT.ALTRO.1</t>
  </si>
  <si>
    <t>- altre uscite straordinarie</t>
  </si>
  <si>
    <t>SINT.OUT.TOT.1</t>
  </si>
  <si>
    <t>TOTALE USCITE</t>
  </si>
  <si>
    <t>SINT.FABB.TOT1</t>
  </si>
  <si>
    <t>FABBISOGNO DI PERIODO (entrate - uscite)</t>
  </si>
  <si>
    <t>SINT.FABB.TOT2</t>
  </si>
  <si>
    <t xml:space="preserve"> di cui fabbisogno per SOCIO SANITARIO</t>
  </si>
  <si>
    <t>SINT.FABB.TOT3</t>
  </si>
  <si>
    <t>SALDO FINALE (tesoreria - fabbisogno di periodo)</t>
  </si>
  <si>
    <t>SINT.FABB.TOT4</t>
  </si>
  <si>
    <t>SALDO FINALE DI TESORERIA (saldo finale - contributi + rimessa di cassa)</t>
  </si>
  <si>
    <t>SINT.AGG.1</t>
  </si>
  <si>
    <t>Anticipazione ordinaria del tesoriere utilizzata nel periodo</t>
  </si>
  <si>
    <t>SINT.AGG.2</t>
  </si>
  <si>
    <t>Giorni medi mensili di scoperto</t>
  </si>
  <si>
    <t>SINT.AGG.3</t>
  </si>
  <si>
    <t>Interessi passivi maturati (importo)</t>
  </si>
  <si>
    <t>SINT.SAN.TOT.1</t>
  </si>
  <si>
    <t>IPOTESI RIMESSA DI CASSA REGIONALE SAN (preventivo)</t>
  </si>
  <si>
    <t>SINT.TER.TOT.2</t>
  </si>
  <si>
    <t>IPOTESI RIMESSA DI CASSA REGIONALE TER (preventivo)</t>
  </si>
  <si>
    <t>SINT.SAN.TOT.3</t>
  </si>
  <si>
    <t>IPOTESI RIMESSA DI CASSA REGIONALE SAN (consuntivo)</t>
  </si>
  <si>
    <t>SINT.TER.TOT.4</t>
  </si>
  <si>
    <t>IPOTESI RIMESSA DI CASSA REGIONALE TER (consuntivo)</t>
  </si>
  <si>
    <t>SINT.COMP.G3S</t>
  </si>
  <si>
    <t>compensazione G3S regionale</t>
  </si>
  <si>
    <t>SINT.CASSA.RL</t>
  </si>
  <si>
    <t>totale cassa regionale (reale e G3S)</t>
  </si>
  <si>
    <t>BENI E SERVIZI, ALTRI ACQUISTI E FONTI DI FINANZIAMENTO</t>
  </si>
  <si>
    <t>FONTI DI FINANZIAMENTO</t>
  </si>
  <si>
    <t>POLO OSPEDALIERO</t>
  </si>
  <si>
    <t>per dettagli fare riferimento alla LEGENDA ERRORI</t>
  </si>
  <si>
    <t>ACQUISTO BENI E SERVIZI (SAN)</t>
  </si>
  <si>
    <t>Competenza esercizio</t>
  </si>
  <si>
    <t>Pagamenti netti dell'esercizio (cumulati all'ultima data del piano)</t>
  </si>
  <si>
    <t>importo contestazioni/fatture sospese</t>
  </si>
  <si>
    <t>split versato</t>
  </si>
  <si>
    <t>saldo (acquisti - pagamenti)</t>
  </si>
  <si>
    <t>voce di NI</t>
  </si>
  <si>
    <t>Importo finanziato da ATS SAN (competenza)</t>
  </si>
  <si>
    <t>compensazioni G3S effettuate con ATS (di competenza)</t>
  </si>
  <si>
    <t>cassa reale (di competenza)</t>
  </si>
  <si>
    <t>saldo (finanziato -compensato/cassa)</t>
  </si>
  <si>
    <t>BS.SAN.1</t>
  </si>
  <si>
    <t>Acquisto beni e servizi a gestione diretta</t>
  </si>
  <si>
    <t>BS.SAN.2</t>
  </si>
  <si>
    <t>Acquisto beni e servizi a gestione centralizzata</t>
  </si>
  <si>
    <t>BS.SAN.3</t>
  </si>
  <si>
    <t>totaleSAN</t>
  </si>
  <si>
    <t>BS.SAN.4</t>
  </si>
  <si>
    <t>di cui importo split payment (per Acquisto beni e servizi a gestione diretta)</t>
  </si>
  <si>
    <t>BS.SAN.5</t>
  </si>
  <si>
    <t>di cui importo split payment (per Acquisto beni e servizi a gestione centralizzata)</t>
  </si>
  <si>
    <t>RETE TERRITORIALE</t>
  </si>
  <si>
    <t>ACQUISTO BENI E SERVIZI (TER)</t>
  </si>
  <si>
    <t>Importo finanziato da ATS TER (competenza)</t>
  </si>
  <si>
    <t>Importo assegnato da RL BPE (competenza)</t>
  </si>
  <si>
    <t>compensazioni G3S effettuate con la Regione (di competenza)</t>
  </si>
  <si>
    <t>saldo (ASSEGNATO-compensato/cassa)</t>
  </si>
  <si>
    <t>BS.TER.1</t>
  </si>
  <si>
    <t>BS.TER.2</t>
  </si>
  <si>
    <t>BS.TER.3</t>
  </si>
  <si>
    <t>totaleTER</t>
  </si>
  <si>
    <t>BS.TER.4</t>
  </si>
  <si>
    <t>BS.TER.5</t>
  </si>
  <si>
    <t>BS.SAN.6</t>
  </si>
  <si>
    <t>Altro (riga di quadratura con il finanziato)</t>
  </si>
  <si>
    <t>BS.SAN.7</t>
  </si>
  <si>
    <t>totale</t>
  </si>
  <si>
    <t>TOTALI DI COMPETENZA (OSPEDALIERA + TERRITORIALE)</t>
  </si>
  <si>
    <t>TOTALE COMPETENZA</t>
  </si>
  <si>
    <t>TOTALE Pagamenti dell'esercizio (cumulati all'ultima data del piano)</t>
  </si>
  <si>
    <t>TOTALE importo contestazioni/fatture sospese</t>
  </si>
  <si>
    <t>totale split versato</t>
  </si>
  <si>
    <t>TOTALE finanziato da ATS</t>
  </si>
  <si>
    <t>TOTALE compensazioni G3S effettuate con ATS</t>
  </si>
  <si>
    <t>TOTALE cassa reale</t>
  </si>
  <si>
    <t>TOTALE finanziato da REGIONE</t>
  </si>
  <si>
    <t>TOTALE compensazioni G3S effettuate con la Regione</t>
  </si>
  <si>
    <t>BS.SANTER.TOT</t>
  </si>
  <si>
    <t>DEBITO VERSO FORNITORI PREGRESSI</t>
  </si>
  <si>
    <t>Pagamenti dell'esercizio a valere sui debiti pregressi</t>
  </si>
  <si>
    <t>importo contestazioni/sospensioni pregresse</t>
  </si>
  <si>
    <t>saldo pregresso</t>
  </si>
  <si>
    <t>Importo finanziato da ex ASL (saldi)</t>
  </si>
  <si>
    <t>compensazioni G3S effettuate con ATS (su pregresso)</t>
  </si>
  <si>
    <t>cassa reale (pregresso)</t>
  </si>
  <si>
    <t>BS.DEB.1</t>
  </si>
  <si>
    <t>gestione diretta</t>
  </si>
  <si>
    <t>BS.DEB.2</t>
  </si>
  <si>
    <t>gestione centralizzata</t>
  </si>
  <si>
    <t>BS.DEB.3</t>
  </si>
  <si>
    <t>totale debito verso fornitori</t>
  </si>
  <si>
    <t xml:space="preserve">TOTALE </t>
  </si>
  <si>
    <t>al TRIMESTRE</t>
  </si>
  <si>
    <t>Pagamenti totali</t>
  </si>
  <si>
    <t>totale split</t>
  </si>
  <si>
    <t>saldi totali</t>
  </si>
  <si>
    <t>BS.TOT.1</t>
  </si>
  <si>
    <t>BS.TOT.2</t>
  </si>
  <si>
    <t>BS.TOT.3</t>
  </si>
  <si>
    <t>CREDITI DA REGIONE  - ANNI PREGRESSI</t>
  </si>
  <si>
    <t>CREDITI VERSO REGIONE</t>
  </si>
  <si>
    <t>CRED.1</t>
  </si>
  <si>
    <t>CRED.2</t>
  </si>
  <si>
    <t>CRED.3</t>
  </si>
  <si>
    <t>CRED.4</t>
  </si>
  <si>
    <t>CRED.5</t>
  </si>
  <si>
    <t>CRED.6</t>
  </si>
  <si>
    <t>CRED.7</t>
  </si>
  <si>
    <t>CRED.TOT.1</t>
  </si>
  <si>
    <t>TOTALE ATS</t>
  </si>
  <si>
    <t>PER CREDITI CORRENTI  - DA REGIONE</t>
  </si>
  <si>
    <t>TOTALE CREDITI CORRENTI</t>
  </si>
  <si>
    <t>CRED.RL.1</t>
  </si>
  <si>
    <t>CRED.RL.2</t>
  </si>
  <si>
    <t>CRED.RL.3</t>
  </si>
  <si>
    <t>CRED.RL.4</t>
  </si>
  <si>
    <t>CRED.RL.5</t>
  </si>
  <si>
    <t>CRED.RL.6</t>
  </si>
  <si>
    <t>CRED.RL.7</t>
  </si>
  <si>
    <t>CRED.RL.8</t>
  </si>
  <si>
    <t>CRED.RL.9</t>
  </si>
  <si>
    <t>CRED.RL.10</t>
  </si>
  <si>
    <t>CRED.RL.11</t>
  </si>
  <si>
    <t>CRED.RL.12</t>
  </si>
  <si>
    <t>CRED.RL.13</t>
  </si>
  <si>
    <t>CRED.RL.14</t>
  </si>
  <si>
    <t>CRED.RL.15</t>
  </si>
  <si>
    <t>CRED.RL.16</t>
  </si>
  <si>
    <t>CRED.RL.17</t>
  </si>
  <si>
    <t>CRED.RL.18</t>
  </si>
  <si>
    <t>CRED.RL.19</t>
  </si>
  <si>
    <t>CRED.RL.20</t>
  </si>
  <si>
    <t>CRED.RL.21</t>
  </si>
  <si>
    <t>CRED.RL.22</t>
  </si>
  <si>
    <t>CRED.RL.23</t>
  </si>
  <si>
    <t>CRED.RL.24</t>
  </si>
  <si>
    <t>CRED.RL.25</t>
  </si>
  <si>
    <t>CRED.RL.26</t>
  </si>
  <si>
    <t>CRED.RL.27</t>
  </si>
  <si>
    <t>CRED.RL.28</t>
  </si>
  <si>
    <t>CRED.RL.29</t>
  </si>
  <si>
    <t>CRED.RL.30</t>
  </si>
  <si>
    <t>CRED.RL.31</t>
  </si>
  <si>
    <t>CRED.RL.32</t>
  </si>
  <si>
    <t>CRED.RL.33</t>
  </si>
  <si>
    <t>CRED.RL.34</t>
  </si>
  <si>
    <t>CRED.RL.35</t>
  </si>
  <si>
    <t>CRED.RL.36</t>
  </si>
  <si>
    <t>CRED.RL.37</t>
  </si>
  <si>
    <t>CRED.RL.38</t>
  </si>
  <si>
    <t>CRED.RL.39</t>
  </si>
  <si>
    <t>CRED.RL.40</t>
  </si>
  <si>
    <t>CRED.RL.41</t>
  </si>
  <si>
    <t>CRED.RL.42</t>
  </si>
  <si>
    <t>CRED.RL.43</t>
  </si>
  <si>
    <t>CRED.RL.44</t>
  </si>
  <si>
    <t>CRED.RL.45</t>
  </si>
  <si>
    <t>CRED.RL.46</t>
  </si>
  <si>
    <t>CRED.RL.47</t>
  </si>
  <si>
    <t>CRED.RL.48</t>
  </si>
  <si>
    <t>CRED.RL.49</t>
  </si>
  <si>
    <t>CRED.RL.50</t>
  </si>
  <si>
    <t>CRED.RL.51</t>
  </si>
  <si>
    <t>CRED.RL.52</t>
  </si>
  <si>
    <t>CRED.RL.53</t>
  </si>
  <si>
    <t>CRED.RL.54</t>
  </si>
  <si>
    <t>CRED.RL.55</t>
  </si>
  <si>
    <t>CRED.RL.56</t>
  </si>
  <si>
    <t>CRED.RL.57</t>
  </si>
  <si>
    <t>CRED.RL.58</t>
  </si>
  <si>
    <t>CRED.RL.59</t>
  </si>
  <si>
    <t>CRED.RL.60</t>
  </si>
  <si>
    <t>CRED.RL.61</t>
  </si>
  <si>
    <t>CRED.RL.62</t>
  </si>
  <si>
    <t>CRED.RL.63</t>
  </si>
  <si>
    <t>CRED.RL.64</t>
  </si>
  <si>
    <t>PER CREDITI CONTO CAPITALE  - DA REGIONE</t>
  </si>
  <si>
    <t>TOTALE CREDITI C.CAPITALE</t>
  </si>
  <si>
    <t>CRED.RL.65</t>
  </si>
  <si>
    <t xml:space="preserve"> - finanziamenti pe investimenti da Regione (specificare DGR/atto di assegnazione*)</t>
  </si>
  <si>
    <t>CRED.RL.66</t>
  </si>
  <si>
    <t>CRED.RL.67</t>
  </si>
  <si>
    <t>CRED.RL.68</t>
  </si>
  <si>
    <t>CRED.RL.69</t>
  </si>
  <si>
    <t>CRED.RL.70</t>
  </si>
  <si>
    <t>CRED.RL.71</t>
  </si>
  <si>
    <t>CRED.RL.72</t>
  </si>
  <si>
    <t>CRED.RL.73</t>
  </si>
  <si>
    <t>CRED.RL.74</t>
  </si>
  <si>
    <t>CRED.RL.75</t>
  </si>
  <si>
    <t>CRED.RL.76</t>
  </si>
  <si>
    <t>CRED.RL.77</t>
  </si>
  <si>
    <t>CRED.RL.78</t>
  </si>
  <si>
    <t>CRED.RL.79</t>
  </si>
  <si>
    <t>CRED.RL.80</t>
  </si>
  <si>
    <t>CRED.RL.81</t>
  </si>
  <si>
    <t>CRED.RL.82</t>
  </si>
  <si>
    <t>CRED.RL.83</t>
  </si>
  <si>
    <t>CRED.RL.84</t>
  </si>
  <si>
    <t>CRED.RL.85</t>
  </si>
  <si>
    <t>CRED.RL.TOT1</t>
  </si>
  <si>
    <t>TOTALE CREDITI PREGRESSI</t>
  </si>
  <si>
    <t>* IN QUADRATURA CON IL PIANO INVESTIMENTI APPROVATO</t>
  </si>
  <si>
    <t>LEGENDA ERRORI CONTROLLO SQUADRATURE</t>
  </si>
  <si>
    <t>(*) per approfondimenti vedasi la relativa circolare di Regione Lombardia</t>
  </si>
  <si>
    <t>COD.</t>
  </si>
  <si>
    <t>DESCRIZIONE(*)</t>
  </si>
  <si>
    <t>Esito Controllo</t>
  </si>
  <si>
    <t>Il Totale Finanziato da Regione Lombardia, deve essere uguale al Totale Assegnato (sezionale TER)</t>
  </si>
  <si>
    <t>Il Totale Finanziato dalle ATS (Polo Ospedaliero e Altro), deve essere uguale al Totale dei Ricavi di Produzione Assegnati</t>
  </si>
  <si>
    <t>L'Importo Finanziato da ATS (Rete Territoriale) a Gestione Centralizzata, deve essere uguale all'Assegnazione Doppio Canale - tip. 13</t>
  </si>
  <si>
    <t>Il totale degli acquisti a gestione diretta TER deve essere uguale al finanziamento da ATS + il finanziamento da RL</t>
  </si>
  <si>
    <t>Il totale degli acquisti a gestione centralizzata TER deve essere uguale al finanziamento da ATS + il finanziamento da RL</t>
  </si>
  <si>
    <t>SPLIT</t>
  </si>
  <si>
    <t>Ciascuna delle celle relative allo split (celle C13, C14, C22, C23, M22, M23, R22, R23) deve essere valorizzata con un importo maggiore di zero</t>
  </si>
  <si>
    <t>CODICE</t>
  </si>
  <si>
    <t>ENTE_RIF</t>
  </si>
  <si>
    <t>ENTE_ASSOC</t>
  </si>
  <si>
    <t>LR23_EX1_702</t>
  </si>
  <si>
    <t>702 - ASST SANTI PAOLO E CARLO</t>
  </si>
  <si>
    <t>COD_CERCA</t>
  </si>
  <si>
    <t>TAB</t>
  </si>
  <si>
    <t>CODENTE</t>
  </si>
  <si>
    <t>VAL1</t>
  </si>
  <si>
    <t>VAL2</t>
  </si>
  <si>
    <t>VAL3</t>
  </si>
  <si>
    <t>VAL4</t>
  </si>
  <si>
    <t>VERS_DECR</t>
  </si>
  <si>
    <t>TAB1_702_ASSEGN.1</t>
  </si>
  <si>
    <t>TAB1</t>
  </si>
  <si>
    <t>TAB1_702_ASSEGN.10</t>
  </si>
  <si>
    <t>TAB1_702_ASSEGN.11</t>
  </si>
  <si>
    <t>TAB1_702_ASSEGN.12</t>
  </si>
  <si>
    <t>TAB1_702_ASSEGN.13</t>
  </si>
  <si>
    <t>TAB1_702_ASSEGN.14</t>
  </si>
  <si>
    <t>TAB1_702_ASSEGN.15</t>
  </si>
  <si>
    <t>TAB1_702_ASSEGN.16</t>
  </si>
  <si>
    <t>TAB1_702_ASSEGN.17</t>
  </si>
  <si>
    <t>TAB1_702_ASSEGN.18</t>
  </si>
  <si>
    <t>TAB1_702_ASSEGN.19</t>
  </si>
  <si>
    <t>TAB1_702_ASSEGN.2</t>
  </si>
  <si>
    <t>TAB1_702_ASSEGN.20</t>
  </si>
  <si>
    <t>TAB1_702_ASSEGN.21</t>
  </si>
  <si>
    <t>TAB1_702_ASSEGN.22</t>
  </si>
  <si>
    <t>TAB1_702_ASSEGN.23</t>
  </si>
  <si>
    <t>TAB1_702_ASSEGN.3</t>
  </si>
  <si>
    <t>TAB1_702_ASSEGN.30</t>
  </si>
  <si>
    <t>TAB1_702_ASSEGN.4</t>
  </si>
  <si>
    <t>TAB1_702_ASSEGN.5</t>
  </si>
  <si>
    <t>TAB1_702_ASSEGN.6</t>
  </si>
  <si>
    <t>TAB1_702_ASSEGN.7</t>
  </si>
  <si>
    <t>TAB1_702_ASSEGN.8</t>
  </si>
  <si>
    <t>TAB1_702_ASSEGN.9</t>
  </si>
  <si>
    <t>VAL5</t>
  </si>
  <si>
    <t>VAL6</t>
  </si>
  <si>
    <t>702_A1TOT_1</t>
  </si>
  <si>
    <t>A1TOT_1</t>
  </si>
  <si>
    <t>702_AOIR14_1</t>
  </si>
  <si>
    <t>AOIR14_1</t>
  </si>
  <si>
    <t>702_AOIR02_1</t>
  </si>
  <si>
    <t>AOIR02_1</t>
  </si>
  <si>
    <t>702_AOIR11_1</t>
  </si>
  <si>
    <t>AOIR11_1</t>
  </si>
  <si>
    <t>702_AOIR11_4</t>
  </si>
  <si>
    <t>AOIR11_4</t>
  </si>
  <si>
    <t>702_AOIR11_2</t>
  </si>
  <si>
    <t>AOIR11_2</t>
  </si>
  <si>
    <t>702_AOIR11_3</t>
  </si>
  <si>
    <t>AOIR11_3</t>
  </si>
  <si>
    <t>702_AOIR12_1</t>
  </si>
  <si>
    <t>AOIR12_1</t>
  </si>
  <si>
    <t>702_AOIR06_1</t>
  </si>
  <si>
    <t>AOIR06_1</t>
  </si>
  <si>
    <t>702_AOIR13_1</t>
  </si>
  <si>
    <t>AOIR13_1</t>
  </si>
  <si>
    <t>702_AOIR10_1</t>
  </si>
  <si>
    <t>AOIR10_1</t>
  </si>
  <si>
    <t>702_C8TOT_1</t>
  </si>
  <si>
    <t>C8TOT_1</t>
  </si>
  <si>
    <t>702_AOIR01_1</t>
  </si>
  <si>
    <t>AOIR01_1</t>
  </si>
  <si>
    <t>702_AOIR01_5</t>
  </si>
  <si>
    <t>AOIR01_5</t>
  </si>
  <si>
    <t>702_AOIR01_2</t>
  </si>
  <si>
    <t>AOIR01_2</t>
  </si>
  <si>
    <t>702_AOIR01_3</t>
  </si>
  <si>
    <t>AOIR01_3</t>
  </si>
  <si>
    <t>702_AOIR01_4</t>
  </si>
  <si>
    <t>AOIR01_4</t>
  </si>
  <si>
    <t>702_C9TOT_1</t>
  </si>
  <si>
    <t>C9TOT_1</t>
  </si>
  <si>
    <t>702_AOIR03_1</t>
  </si>
  <si>
    <t>AOIR03_1</t>
  </si>
  <si>
    <t>702_AOIR05_1</t>
  </si>
  <si>
    <t>AOIR05_1</t>
  </si>
  <si>
    <t>702_AOIR03_2</t>
  </si>
  <si>
    <t>AOIR03_2</t>
  </si>
  <si>
    <t>702_AOIR03_3</t>
  </si>
  <si>
    <t>AOIR03_3</t>
  </si>
  <si>
    <t>702_AOIR03_4</t>
  </si>
  <si>
    <t>AOIR03_4</t>
  </si>
  <si>
    <t>702_AOIR04_1</t>
  </si>
  <si>
    <t>AOIR04_1</t>
  </si>
  <si>
    <t>702_AOIR08_1</t>
  </si>
  <si>
    <t>AOIR08_1</t>
  </si>
  <si>
    <t>702_C12TOT_1</t>
  </si>
  <si>
    <t>C12TOT_1</t>
  </si>
  <si>
    <t>702_AOIR09_1</t>
  </si>
  <si>
    <t>AOIR09_1</t>
  </si>
  <si>
    <t>702_AOIR09_4</t>
  </si>
  <si>
    <t>AOIR09_4</t>
  </si>
  <si>
    <t>702_AOIR09_2</t>
  </si>
  <si>
    <t>AOIR09_2</t>
  </si>
  <si>
    <t>702_AOIR09_3</t>
  </si>
  <si>
    <t>AOIR09_3</t>
  </si>
  <si>
    <t>702_C13TOT_1</t>
  </si>
  <si>
    <t>C13TOT_1</t>
  </si>
  <si>
    <t>702_AOIR15_1</t>
  </si>
  <si>
    <t>AOIR15_1</t>
  </si>
  <si>
    <t>702_AOIR15_2</t>
  </si>
  <si>
    <t>AOIR15_2</t>
  </si>
  <si>
    <t>702_AOIR15_3</t>
  </si>
  <si>
    <t>AOIR15_3</t>
  </si>
  <si>
    <t>702_AOIR15_4</t>
  </si>
  <si>
    <t>AOIR15_4</t>
  </si>
  <si>
    <t>702_AOIR15_5</t>
  </si>
  <si>
    <t>AOIR15_5</t>
  </si>
  <si>
    <t>702_AOIR15_7</t>
  </si>
  <si>
    <t>AOIR15_7</t>
  </si>
  <si>
    <t>702_AOIR15_6</t>
  </si>
  <si>
    <t>AOIR15_6</t>
  </si>
  <si>
    <t>702_D1TOT_1</t>
  </si>
  <si>
    <t>D1TOT_1</t>
  </si>
  <si>
    <t>702_AOIC01_1</t>
  </si>
  <si>
    <t>AOIC01_1</t>
  </si>
  <si>
    <t>702_ONPERS_1</t>
  </si>
  <si>
    <t>ONPERS_1</t>
  </si>
  <si>
    <t>702_ONCOMP_1</t>
  </si>
  <si>
    <t>ONCOMP_1</t>
  </si>
  <si>
    <t>702_ONDIR_1</t>
  </si>
  <si>
    <t>ONDIR_1</t>
  </si>
  <si>
    <t>702_AOIC02_1</t>
  </si>
  <si>
    <t>AOIC02_1</t>
  </si>
  <si>
    <t>702_AOIC04_1</t>
  </si>
  <si>
    <t>AOIC04_1</t>
  </si>
  <si>
    <t>702_AOIC17_1</t>
  </si>
  <si>
    <t>AOIC17_1</t>
  </si>
  <si>
    <t>702_AOIC06_1</t>
  </si>
  <si>
    <t>AOIC06_1</t>
  </si>
  <si>
    <t>702_AOIC05_1</t>
  </si>
  <si>
    <t>AOIC05_1</t>
  </si>
  <si>
    <t>702_AOIC07_1</t>
  </si>
  <si>
    <t>AOIC07_1</t>
  </si>
  <si>
    <t>702_AOIC08_1</t>
  </si>
  <si>
    <t>AOIC08_1</t>
  </si>
  <si>
    <t>702_ASSIC_1</t>
  </si>
  <si>
    <t>ASSIC_1</t>
  </si>
  <si>
    <t>702_TRIC_NOALP_1</t>
  </si>
  <si>
    <t>TRIC_NOALP_1</t>
  </si>
  <si>
    <t>702_TCOS_NOALP_1</t>
  </si>
  <si>
    <t>TCOS_NOALP_1</t>
  </si>
  <si>
    <t>702_AOIR07_1</t>
  </si>
  <si>
    <t>AOIR07_1</t>
  </si>
  <si>
    <t>702_AOIC03_1</t>
  </si>
  <si>
    <t>AOIC03_1</t>
  </si>
  <si>
    <t>702_AOIR11_R_1</t>
  </si>
  <si>
    <t>AOIR11_R_1</t>
  </si>
  <si>
    <t>702_AOIR12_R_1</t>
  </si>
  <si>
    <t>AOIR12_R_1</t>
  </si>
  <si>
    <t>702_TOTRIC_1</t>
  </si>
  <si>
    <t>TOTRIC_1</t>
  </si>
  <si>
    <t>702_TOTCOS_1</t>
  </si>
  <si>
    <t>TOTCOS_1</t>
  </si>
  <si>
    <t>702_RISES_1</t>
  </si>
  <si>
    <t>RISES_1</t>
  </si>
  <si>
    <t>NOTA</t>
  </si>
  <si>
    <t>FUNZIONI NON TARIFFATE - ES. 2004,2005,2007,2008,2009,2010,2011,2014,2015</t>
  </si>
  <si>
    <t>OBIETTIVI PSSR - ES. 2005,2008,2009,2010,2011,2012,2014</t>
  </si>
  <si>
    <t xml:space="preserve"> Crediti da Regione per Funzioni non tariffate 2012 - 2015</t>
  </si>
  <si>
    <t xml:space="preserve"> Crediti da Regione per Obiettivi di PSSR 2008 - 2014</t>
  </si>
  <si>
    <t>Crediti v/Regione o Provincia Autonoma per spesa corrente - altro 1998-2015</t>
  </si>
  <si>
    <t>SIS 1</t>
  </si>
  <si>
    <t>PROGETTO DAMA ES. 2001-2002</t>
  </si>
  <si>
    <t>PIANO URBANO - CALL CENTER ONCOLOGICO</t>
  </si>
  <si>
    <t>PROGETTO "RAZIONALIZZAZIONE PERCORSI DIAGNOSTICO-TERAPEUTICI IN PAZIENTI AFFETTI DA PRECANCEROSI E NEOPLASIE"</t>
  </si>
  <si>
    <t>PROGETTO "STRATEGIE INNOVATIVE PAZIENTI AD ALTO RISCHIO IN TERAPIA INTENSIVA"</t>
  </si>
  <si>
    <t>PROGETTO "MODELLO ORGANIZZATIVO PER ASSISTENZA SANITARIA NEGLI ISTITUTI PENITENZIARI PER ADULTI IN ATTUAZIONE DGR 8120/2008"</t>
  </si>
  <si>
    <t>PROGETTO RICERCA INDIPENDENTE CALL 2011 " CAPIRE PER CURARE APPROCCIO MULTIDISCIPLINARE, CLINICO E DI RICERCA DELLA SCLEROSI TUBEROSA"</t>
  </si>
  <si>
    <t>CORSO FORMAZIONE AIDS L. 135/90  ES. 2012-2013-2014</t>
  </si>
  <si>
    <t>BANDO MINISTERIALE GIOVANI RICERCATORI ANNO 2009: PROGETTO DI RICERCA FINALIZZATA "GR - 2009 - 1592029" ANNO 2012</t>
  </si>
  <si>
    <t>PROGETTO DI RICERCA FINALIZZATA "RF - 2010 - 2319806 CAPNAF - FD" ES. 2013</t>
  </si>
  <si>
    <t>DDG 4287 del 16/05/2016</t>
  </si>
  <si>
    <t>altri contributi ex a.o. san paolo</t>
  </si>
  <si>
    <t>REALIZZAZIONE REPARTO MALATTIVE INFETTIVE - DGR N. 75401 del 09/12/1998</t>
  </si>
  <si>
    <t>ADEGUAMENTO NORMATIVA SICUREZZA - DECRETO N. 20824 del 24/11/2004</t>
  </si>
  <si>
    <t>RISTRUTTURAZIONE P.S., DEA, MEDICINA URGENZA E REALIZZAZIONE NUOVA UNITA' CORONARICA - DGR N. VIII/2472 del 11/05/2006 - DECRETO N. 11045 del 08/10/2008</t>
  </si>
  <si>
    <t>UTILIZZO FONDO DI ROTAZIONE - ADEGUAMENTO NORME PREVENZIONE INCENDIO E ACQUISTO ATTREZZATURE P.S. - DGR N. IX/3683 del 02/07/2012</t>
  </si>
  <si>
    <t>PIANO STRAORDINARIO PER AMMODERNAMENTO PATRIMONIO TECNOLOGICO - DGR N. X/388 del 12/07/2013</t>
  </si>
  <si>
    <t>UTILIZZO FONDI RESI DISPONIBILI DALLA L.R. 18/2012 - DGR N. X/821 del 25/10/2013</t>
  </si>
  <si>
    <t>ADEGUAMENTO NORMATIVA ANTINCENDIO, GAS MEDICALI E MESSA IN SICUREZZA PRESIDIO - DGR N. IX/4739 del 23/01/2013 e DGR N. X/855 del 25/10/2013</t>
  </si>
  <si>
    <t>UTILIZZO FONDI INVESTIMENTO IN MATERIA EDILIZIA SANITARIA - DGR N. X/1521 del 20/03/2014</t>
  </si>
  <si>
    <t>CONTRIBUTO PER APPARECCHIATURE SANITARIE OBSOLETE - DECRETO N. 12686 del 24/12/2014</t>
  </si>
  <si>
    <t>DGR 4189/2015 Fondi investimento eserc. 2015</t>
  </si>
  <si>
    <t xml:space="preserve"> DGR 1102/2013</t>
  </si>
  <si>
    <t>DGR IX/4860 E DGR 388/2013</t>
  </si>
  <si>
    <t>DGR 2111/2014</t>
  </si>
  <si>
    <t>DGR 1521/2014</t>
  </si>
  <si>
    <t>DGR 2931/2014</t>
  </si>
  <si>
    <t>DGS 7011 DEL 26/08/2015</t>
  </si>
  <si>
    <t>DGR 4189/2015</t>
  </si>
  <si>
    <t>1.20.20.20.000.000.00.000</t>
  </si>
  <si>
    <t>2013 E ANTE EX AO SAN CARLO</t>
  </si>
  <si>
    <t>DGR 5135/2016</t>
  </si>
  <si>
    <t>Crediti da Regione per Contributi vincolati da FSR 2011</t>
  </si>
  <si>
    <t>Altri Contributi da Regione 2012</t>
  </si>
  <si>
    <t>ALTRI CONTRIBUTI DIVERSI 2005/2015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</si>
</sst>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[$€]\ * #,##0.00_-;\-[$€]\ * #,##0.00_-;_-[$€]\ * &quot;-&quot;??_-;_-@_-"/>
    <numFmt numFmtId="166" formatCode="d/m/yyyy;@"/>
    <numFmt numFmtId="167" formatCode="#,##0_ ;[Red]\-#,##0\ "/>
    <numFmt numFmtId="168" formatCode="_-* #,##0.00_-;\-* #,##0.00_-;_-* \-??_-;_-@_-"/>
    <numFmt numFmtId="169" formatCode="#,##0.00\ ;\-#,##0.00\ ;&quot; -&quot;#\ ;@\ "/>
    <numFmt numFmtId="170" formatCode="_-[$€]\ * #,##0.00_-;\-[$€]\ * #,##0.00_-;_-[$€]\ * \-??_-;_-@_-"/>
    <numFmt numFmtId="171" formatCode="_-&quot;€ &quot;* #,##0.00_-;&quot;-€ &quot;* #,##0.00_-;_-&quot;€ &quot;* \-??_-;_-@_-"/>
    <numFmt numFmtId="172" formatCode="_-[$€-2]\ * #,##0.00_-;\-[$€-2]\ * #,##0.00_-;_-[$€-2]\ * &quot;-&quot;??_-"/>
    <numFmt numFmtId="173" formatCode="[$€]\ #,##0.00\ ;\-[$€]\ #,##0.00\ ;[$€]&quot; -&quot;#\ ;@\ "/>
    <numFmt numFmtId="174" formatCode="_-* #,##0_-;\-* #,##0_-;_-* \-_-;_-@_-"/>
    <numFmt numFmtId="175" formatCode="#,##0\ ;\-#,##0\ ;&quot; - &quot;;@\ "/>
    <numFmt numFmtId="176" formatCode="_-&quot;L.&quot;\ * #,##0.00_-;\-&quot;L.&quot;\ * #,##0.00_-;_-&quot;L.&quot;\ * &quot;-&quot;??_-;_-@_-"/>
  </numFmts>
  <fonts count="9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i/>
      <sz val="20"/>
      <color indexed="8"/>
      <name val="Calibri"/>
      <family val="2"/>
    </font>
    <font>
      <sz val="14"/>
      <name val="Calibri"/>
      <family val="2"/>
    </font>
    <font>
      <sz val="10"/>
      <name val="MS Sans Serif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ang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2"/>
      <color indexed="8"/>
      <name val="Arial Narrow"/>
      <family val="2"/>
    </font>
    <font>
      <sz val="11"/>
      <color indexed="8"/>
      <name val="Verdana"/>
      <family val="2"/>
    </font>
    <font>
      <u/>
      <sz val="10"/>
      <name val="Mangal"/>
      <family val="2"/>
    </font>
    <font>
      <u/>
      <sz val="10"/>
      <name val="Arial"/>
      <family val="2"/>
    </font>
    <font>
      <u/>
      <sz val="10"/>
      <name val="Arial"/>
      <family val="2"/>
      <charset val="1"/>
    </font>
    <font>
      <i/>
      <sz val="10"/>
      <name val="Arial"/>
      <family val="2"/>
    </font>
    <font>
      <i/>
      <sz val="10"/>
      <name val="Arial"/>
      <family val="2"/>
      <charset val="1"/>
    </font>
    <font>
      <i/>
      <sz val="11"/>
      <color indexed="5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0"/>
      <color theme="3" tint="0.3999755851924192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i/>
      <sz val="20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i/>
      <sz val="20"/>
      <name val="Calibri"/>
      <family val="2"/>
      <scheme val="minor"/>
    </font>
    <font>
      <sz val="15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2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0"/>
      <name val="Calibri"/>
      <family val="2"/>
    </font>
    <font>
      <b/>
      <sz val="20"/>
      <color theme="0"/>
      <name val="Calibri"/>
      <family val="2"/>
    </font>
    <font>
      <sz val="16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  <bgColor indexed="33"/>
      </patternFill>
    </fill>
    <fill>
      <patternFill patternType="solid">
        <fgColor indexed="57"/>
        <bgColor indexed="21"/>
      </patternFill>
    </fill>
    <fill>
      <patternFill patternType="solid">
        <f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44"/>
      </patternFill>
    </fill>
    <fill>
      <patternFill patternType="solid">
        <fgColor indexed="41"/>
        <bgColor indexed="27"/>
      </patternFill>
    </fill>
    <fill>
      <patternFill patternType="solid">
        <fgColor indexed="27"/>
        <bgColor indexed="42"/>
      </patternFill>
    </fill>
    <fill>
      <patternFill patternType="mediumGray">
        <fgColor indexed="9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562">
    <xf numFmtId="0" fontId="0" fillId="0" borderId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7" borderId="0" applyNumberFormat="0" applyBorder="0" applyAlignment="0" applyProtection="0"/>
    <xf numFmtId="0" fontId="19" fillId="29" borderId="1" applyNumberFormat="0" applyAlignment="0" applyProtection="0"/>
    <xf numFmtId="0" fontId="19" fillId="4" borderId="2" applyNumberFormat="0" applyAlignment="0" applyProtection="0"/>
    <xf numFmtId="0" fontId="20" fillId="0" borderId="3" applyNumberFormat="0" applyFill="0" applyAlignment="0" applyProtection="0"/>
    <xf numFmtId="0" fontId="21" fillId="30" borderId="4" applyNumberFormat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25" borderId="0" applyNumberFormat="0" applyBorder="0" applyAlignment="0" applyProtection="0"/>
    <xf numFmtId="0" fontId="18" fillId="36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33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65" fontId="2" fillId="0" borderId="0" applyFont="0" applyFill="0" applyBorder="0" applyAlignment="0" applyProtection="0"/>
    <xf numFmtId="170" fontId="1" fillId="0" borderId="0" applyFill="0" applyBorder="0" applyAlignment="0" applyProtection="0"/>
    <xf numFmtId="171" fontId="34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ill="0" applyBorder="0" applyAlignment="0" applyProtection="0"/>
    <xf numFmtId="173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33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ill="0" applyBorder="0" applyAlignment="0" applyProtection="0"/>
    <xf numFmtId="170" fontId="2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65" fontId="2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14" borderId="1" applyNumberFormat="0" applyAlignment="0" applyProtection="0"/>
    <xf numFmtId="0" fontId="22" fillId="7" borderId="2" applyNumberFormat="0" applyAlignment="0" applyProtection="0"/>
    <xf numFmtId="43" fontId="50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/>
    <xf numFmtId="174" fontId="1" fillId="0" borderId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33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/>
    <xf numFmtId="174" fontId="1" fillId="0" borderId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41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33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41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1" fontId="2" fillId="0" borderId="0" applyFont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5" fontId="2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41" fontId="2" fillId="0" borderId="0" applyFont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5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/>
    <xf numFmtId="174" fontId="1" fillId="0" borderId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/>
    <xf numFmtId="174" fontId="1" fillId="0" borderId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33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5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2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2" fillId="0" borderId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33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33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9" fontId="1" fillId="0" borderId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33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2" fillId="0" borderId="0" applyFill="0" applyBorder="0" applyAlignment="0" applyProtection="0"/>
    <xf numFmtId="43" fontId="36" fillId="0" borderId="0" applyFont="0" applyFill="0" applyBorder="0" applyAlignment="0" applyProtection="0"/>
    <xf numFmtId="168" fontId="2" fillId="0" borderId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36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8" fontId="1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33" fillId="0" borderId="0" applyFill="0" applyBorder="0" applyAlignment="0" applyProtection="0"/>
    <xf numFmtId="168" fontId="2" fillId="0" borderId="0" applyFill="0" applyBorder="0" applyAlignment="0" applyProtection="0"/>
    <xf numFmtId="168" fontId="1" fillId="0" borderId="0"/>
    <xf numFmtId="168" fontId="1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/>
    <xf numFmtId="168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8" fontId="1" fillId="0" borderId="0"/>
    <xf numFmtId="168" fontId="1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/>
    <xf numFmtId="168" fontId="1" fillId="0" borderId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/>
    <xf numFmtId="168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/>
    <xf numFmtId="168" fontId="1" fillId="0" borderId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3" fillId="38" borderId="0" applyNumberFormat="0" applyBorder="0" applyAlignment="0" applyProtection="0"/>
    <xf numFmtId="0" fontId="2" fillId="0" borderId="0"/>
    <xf numFmtId="0" fontId="34" fillId="0" borderId="0"/>
    <xf numFmtId="0" fontId="17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 applyBorder="0"/>
    <xf numFmtId="0" fontId="34" fillId="0" borderId="0"/>
    <xf numFmtId="0" fontId="2" fillId="0" borderId="0"/>
    <xf numFmtId="0" fontId="2" fillId="0" borderId="0"/>
    <xf numFmtId="0" fontId="34" fillId="0" borderId="0"/>
    <xf numFmtId="0" fontId="3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35" fillId="0" borderId="0"/>
    <xf numFmtId="0" fontId="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39" borderId="5" applyNumberFormat="0" applyAlignment="0" applyProtection="0"/>
    <xf numFmtId="0" fontId="1" fillId="10" borderId="5" applyNumberFormat="0" applyFont="0" applyAlignment="0" applyProtection="0"/>
    <xf numFmtId="0" fontId="1" fillId="10" borderId="5" applyNumberFormat="0" applyFont="0" applyAlignment="0" applyProtection="0"/>
    <xf numFmtId="0" fontId="1" fillId="10" borderId="5" applyNumberFormat="0" applyFont="0" applyAlignment="0" applyProtection="0"/>
    <xf numFmtId="0" fontId="1" fillId="10" borderId="5" applyNumberFormat="0" applyFont="0" applyAlignment="0" applyProtection="0"/>
    <xf numFmtId="0" fontId="1" fillId="10" borderId="5" applyNumberFormat="0" applyFont="0" applyAlignment="0" applyProtection="0"/>
    <xf numFmtId="0" fontId="1" fillId="10" borderId="5" applyNumberFormat="0" applyFont="0" applyAlignment="0" applyProtection="0"/>
    <xf numFmtId="0" fontId="1" fillId="10" borderId="5" applyNumberFormat="0" applyFont="0" applyAlignment="0" applyProtection="0"/>
    <xf numFmtId="0" fontId="24" fillId="29" borderId="6" applyNumberFormat="0" applyAlignment="0" applyProtection="0"/>
    <xf numFmtId="0" fontId="24" fillId="4" borderId="6" applyNumberForma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1" fillId="29" borderId="7"/>
    <xf numFmtId="0" fontId="35" fillId="29" borderId="7"/>
    <xf numFmtId="0" fontId="1" fillId="29" borderId="7"/>
    <xf numFmtId="0" fontId="1" fillId="29" borderId="7"/>
    <xf numFmtId="0" fontId="1" fillId="29" borderId="7"/>
    <xf numFmtId="0" fontId="1" fillId="40" borderId="7"/>
    <xf numFmtId="0" fontId="35" fillId="40" borderId="7"/>
    <xf numFmtId="0" fontId="1" fillId="40" borderId="7"/>
    <xf numFmtId="0" fontId="1" fillId="40" borderId="7"/>
    <xf numFmtId="0" fontId="1" fillId="40" borderId="7"/>
    <xf numFmtId="49" fontId="39" fillId="15" borderId="8">
      <alignment horizontal="center"/>
    </xf>
    <xf numFmtId="49" fontId="40" fillId="15" borderId="8">
      <alignment horizontal="center"/>
    </xf>
    <xf numFmtId="49" fontId="2" fillId="15" borderId="8">
      <alignment horizontal="center"/>
    </xf>
    <xf numFmtId="49" fontId="34" fillId="15" borderId="8">
      <alignment horizontal="center"/>
    </xf>
    <xf numFmtId="49" fontId="41" fillId="0" borderId="0"/>
    <xf numFmtId="49" fontId="42" fillId="0" borderId="0"/>
    <xf numFmtId="0" fontId="1" fillId="17" borderId="7"/>
    <xf numFmtId="0" fontId="35" fillId="17" borderId="7"/>
    <xf numFmtId="0" fontId="1" fillId="17" borderId="7"/>
    <xf numFmtId="0" fontId="1" fillId="17" borderId="7"/>
    <xf numFmtId="0" fontId="1" fillId="17" borderId="7"/>
    <xf numFmtId="0" fontId="1" fillId="29" borderId="7"/>
    <xf numFmtId="0" fontId="35" fillId="29" borderId="7"/>
    <xf numFmtId="0" fontId="1" fillId="29" borderId="7"/>
    <xf numFmtId="0" fontId="1" fillId="29" borderId="7"/>
    <xf numFmtId="0" fontId="1" fillId="29" borderId="7"/>
    <xf numFmtId="0" fontId="1" fillId="12" borderId="7"/>
    <xf numFmtId="0" fontId="35" fillId="12" borderId="7"/>
    <xf numFmtId="0" fontId="1" fillId="12" borderId="7"/>
    <xf numFmtId="0" fontId="1" fillId="12" borderId="7"/>
    <xf numFmtId="0" fontId="1" fillId="12" borderId="7"/>
    <xf numFmtId="0" fontId="1" fillId="29" borderId="7"/>
    <xf numFmtId="0" fontId="35" fillId="29" borderId="7"/>
    <xf numFmtId="0" fontId="1" fillId="29" borderId="7"/>
    <xf numFmtId="0" fontId="1" fillId="29" borderId="7"/>
    <xf numFmtId="0" fontId="1" fillId="29" borderId="7"/>
    <xf numFmtId="0" fontId="1" fillId="40" borderId="7"/>
    <xf numFmtId="0" fontId="35" fillId="40" borderId="7"/>
    <xf numFmtId="0" fontId="1" fillId="40" borderId="7"/>
    <xf numFmtId="0" fontId="1" fillId="40" borderId="7"/>
    <xf numFmtId="0" fontId="1" fillId="40" borderId="7"/>
    <xf numFmtId="49" fontId="39" fillId="41" borderId="8">
      <alignment vertical="center"/>
    </xf>
    <xf numFmtId="49" fontId="39" fillId="42" borderId="8">
      <alignment vertical="center"/>
    </xf>
    <xf numFmtId="49" fontId="40" fillId="15" borderId="8">
      <alignment vertical="center"/>
    </xf>
    <xf numFmtId="49" fontId="39" fillId="41" borderId="8">
      <alignment vertical="center"/>
    </xf>
    <xf numFmtId="49" fontId="39" fillId="43" borderId="8">
      <alignment vertical="center"/>
    </xf>
    <xf numFmtId="49" fontId="39" fillId="43" borderId="8">
      <alignment vertical="center"/>
    </xf>
    <xf numFmtId="49" fontId="39" fillId="42" borderId="8">
      <alignment vertical="center"/>
    </xf>
    <xf numFmtId="49" fontId="39" fillId="15" borderId="8">
      <alignment vertical="center"/>
    </xf>
    <xf numFmtId="49" fontId="39" fillId="15" borderId="8">
      <alignment vertical="center"/>
    </xf>
    <xf numFmtId="49" fontId="39" fillId="41" borderId="8">
      <alignment vertical="center"/>
    </xf>
    <xf numFmtId="49" fontId="39" fillId="42" borderId="8">
      <alignment vertical="center"/>
    </xf>
    <xf numFmtId="49" fontId="39" fillId="42" borderId="8">
      <alignment vertical="center"/>
    </xf>
    <xf numFmtId="49" fontId="39" fillId="41" borderId="8">
      <alignment vertical="center"/>
    </xf>
    <xf numFmtId="49" fontId="2" fillId="44" borderId="8">
      <alignment vertical="center"/>
    </xf>
    <xf numFmtId="49" fontId="2" fillId="40" borderId="8">
      <alignment vertical="center"/>
    </xf>
    <xf numFmtId="49" fontId="34" fillId="15" borderId="8">
      <alignment vertical="center"/>
    </xf>
    <xf numFmtId="49" fontId="2" fillId="44" borderId="8">
      <alignment vertical="center"/>
    </xf>
    <xf numFmtId="49" fontId="2" fillId="40" borderId="8">
      <alignment vertical="center"/>
    </xf>
    <xf numFmtId="49" fontId="2" fillId="15" borderId="8">
      <alignment vertical="center"/>
    </xf>
    <xf numFmtId="49" fontId="2" fillId="15" borderId="8">
      <alignment vertical="center"/>
    </xf>
    <xf numFmtId="49" fontId="2" fillId="40" borderId="8">
      <alignment vertical="center"/>
    </xf>
    <xf numFmtId="49" fontId="2" fillId="40" borderId="8">
      <alignment vertical="center"/>
    </xf>
    <xf numFmtId="49" fontId="2" fillId="40" borderId="8">
      <alignment vertical="center"/>
    </xf>
    <xf numFmtId="49" fontId="2" fillId="44" borderId="8">
      <alignment vertical="center"/>
    </xf>
    <xf numFmtId="49" fontId="2" fillId="44" borderId="8">
      <alignment vertical="center"/>
    </xf>
    <xf numFmtId="49" fontId="2" fillId="0" borderId="0">
      <alignment horizontal="right"/>
    </xf>
    <xf numFmtId="49" fontId="34" fillId="0" borderId="0">
      <alignment horizontal="right"/>
    </xf>
    <xf numFmtId="0" fontId="1" fillId="9" borderId="7"/>
    <xf numFmtId="0" fontId="35" fillId="9" borderId="7"/>
    <xf numFmtId="0" fontId="1" fillId="9" borderId="7"/>
    <xf numFmtId="0" fontId="1" fillId="9" borderId="7"/>
    <xf numFmtId="0" fontId="1" fillId="9" borderId="7"/>
    <xf numFmtId="0" fontId="1" fillId="38" borderId="7"/>
    <xf numFmtId="0" fontId="35" fillId="38" borderId="7"/>
    <xf numFmtId="0" fontId="1" fillId="38" borderId="7"/>
    <xf numFmtId="0" fontId="1" fillId="38" borderId="7"/>
    <xf numFmtId="0" fontId="1" fillId="38" borderId="7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4" fillId="0" borderId="10" applyNumberFormat="0" applyFill="0" applyAlignment="0" applyProtection="0"/>
    <xf numFmtId="0" fontId="28" fillId="0" borderId="11" applyNumberFormat="0" applyFill="0" applyAlignment="0" applyProtection="0"/>
    <xf numFmtId="0" fontId="45" fillId="0" borderId="11" applyNumberFormat="0" applyFill="0" applyAlignment="0" applyProtection="0"/>
    <xf numFmtId="0" fontId="29" fillId="0" borderId="12" applyNumberFormat="0" applyFill="0" applyAlignment="0" applyProtection="0"/>
    <xf numFmtId="0" fontId="46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9" borderId="0" applyNumberFormat="0" applyBorder="0" applyAlignment="0" applyProtection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6">
    <xf numFmtId="0" fontId="0" fillId="0" borderId="0" xfId="0"/>
    <xf numFmtId="0" fontId="53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0" borderId="19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55" borderId="19" xfId="0" applyFont="1" applyFill="1" applyBorder="1" applyAlignment="1">
      <alignment vertical="center"/>
    </xf>
    <xf numFmtId="0" fontId="56" fillId="0" borderId="19" xfId="0" quotePrefix="1" applyFont="1" applyFill="1" applyBorder="1" applyAlignment="1">
      <alignment vertical="center"/>
    </xf>
    <xf numFmtId="3" fontId="53" fillId="0" borderId="17" xfId="168" applyNumberFormat="1" applyFont="1" applyBorder="1" applyAlignment="1">
      <alignment horizontal="center" vertical="center" wrapText="1"/>
    </xf>
    <xf numFmtId="3" fontId="53" fillId="0" borderId="20" xfId="168" applyNumberFormat="1" applyFont="1" applyBorder="1" applyAlignment="1">
      <alignment horizontal="center" vertical="center" wrapText="1"/>
    </xf>
    <xf numFmtId="0" fontId="58" fillId="0" borderId="17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left" vertical="center"/>
    </xf>
    <xf numFmtId="0" fontId="61" fillId="0" borderId="25" xfId="0" applyFont="1" applyBorder="1" applyAlignment="1">
      <alignment horizontal="left" vertical="center"/>
    </xf>
    <xf numFmtId="0" fontId="59" fillId="0" borderId="25" xfId="0" applyFont="1" applyBorder="1" applyAlignment="1">
      <alignment vertical="center"/>
    </xf>
    <xf numFmtId="0" fontId="61" fillId="0" borderId="26" xfId="0" applyFont="1" applyBorder="1" applyAlignment="1">
      <alignment horizontal="left" vertical="center"/>
    </xf>
    <xf numFmtId="0" fontId="59" fillId="0" borderId="27" xfId="0" applyFont="1" applyBorder="1" applyAlignment="1">
      <alignment vertical="center"/>
    </xf>
    <xf numFmtId="0" fontId="61" fillId="0" borderId="27" xfId="0" applyFont="1" applyBorder="1" applyAlignment="1">
      <alignment horizontal="left" vertical="center" wrapText="1" indent="2"/>
    </xf>
    <xf numFmtId="0" fontId="61" fillId="56" borderId="26" xfId="0" applyFont="1" applyFill="1" applyBorder="1" applyAlignment="1">
      <alignment horizontal="left" vertical="center"/>
    </xf>
    <xf numFmtId="0" fontId="61" fillId="56" borderId="27" xfId="0" applyFont="1" applyFill="1" applyBorder="1" applyAlignment="1">
      <alignment horizontal="left" vertical="center"/>
    </xf>
    <xf numFmtId="0" fontId="62" fillId="56" borderId="27" xfId="0" applyFont="1" applyFill="1" applyBorder="1" applyAlignment="1">
      <alignment vertical="center"/>
    </xf>
    <xf numFmtId="0" fontId="61" fillId="56" borderId="28" xfId="0" applyFont="1" applyFill="1" applyBorder="1" applyAlignment="1">
      <alignment horizontal="left" vertical="center"/>
    </xf>
    <xf numFmtId="0" fontId="61" fillId="56" borderId="29" xfId="0" applyFont="1" applyFill="1" applyBorder="1" applyAlignment="1">
      <alignment horizontal="left" vertical="center"/>
    </xf>
    <xf numFmtId="0" fontId="62" fillId="56" borderId="0" xfId="0" applyFont="1" applyFill="1" applyBorder="1" applyAlignment="1">
      <alignment vertical="center"/>
    </xf>
    <xf numFmtId="0" fontId="61" fillId="56" borderId="30" xfId="0" applyFont="1" applyFill="1" applyBorder="1" applyAlignment="1">
      <alignment horizontal="left" vertical="center"/>
    </xf>
    <xf numFmtId="0" fontId="61" fillId="56" borderId="31" xfId="0" applyFont="1" applyFill="1" applyBorder="1" applyAlignment="1">
      <alignment horizontal="left" vertical="center"/>
    </xf>
    <xf numFmtId="0" fontId="62" fillId="56" borderId="32" xfId="0" applyFont="1" applyFill="1" applyBorder="1" applyAlignment="1">
      <alignment vertical="center"/>
    </xf>
    <xf numFmtId="0" fontId="59" fillId="0" borderId="33" xfId="0" applyFont="1" applyBorder="1" applyAlignment="1">
      <alignment vertical="center"/>
    </xf>
    <xf numFmtId="0" fontId="60" fillId="0" borderId="34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/>
    </xf>
    <xf numFmtId="0" fontId="63" fillId="56" borderId="36" xfId="0" applyFont="1" applyFill="1" applyBorder="1" applyAlignment="1">
      <alignment horizontal="center" vertical="center"/>
    </xf>
    <xf numFmtId="0" fontId="64" fillId="56" borderId="37" xfId="0" applyFont="1" applyFill="1" applyBorder="1" applyAlignment="1">
      <alignment horizontal="left" vertical="center" wrapText="1"/>
    </xf>
    <xf numFmtId="0" fontId="64" fillId="56" borderId="37" xfId="0" applyFont="1" applyFill="1" applyBorder="1" applyAlignment="1">
      <alignment horizontal="left" vertical="top" wrapText="1"/>
    </xf>
    <xf numFmtId="0" fontId="65" fillId="0" borderId="19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2" fillId="0" borderId="0" xfId="1249"/>
    <xf numFmtId="0" fontId="0" fillId="0" borderId="0" xfId="0" applyProtection="1"/>
    <xf numFmtId="0" fontId="55" fillId="0" borderId="17" xfId="0" applyFont="1" applyBorder="1" applyAlignment="1" applyProtection="1">
      <alignment horizontal="left" vertical="top"/>
    </xf>
    <xf numFmtId="0" fontId="55" fillId="0" borderId="17" xfId="0" applyFont="1" applyBorder="1" applyAlignment="1" applyProtection="1">
      <alignment horizontal="left" vertical="top" wrapText="1"/>
    </xf>
    <xf numFmtId="0" fontId="66" fillId="0" borderId="17" xfId="0" applyFont="1" applyBorder="1" applyAlignment="1" applyProtection="1">
      <alignment vertical="center"/>
    </xf>
    <xf numFmtId="0" fontId="55" fillId="0" borderId="0" xfId="0" applyFont="1" applyAlignment="1" applyProtection="1">
      <alignment vertical="center"/>
    </xf>
    <xf numFmtId="0" fontId="66" fillId="0" borderId="0" xfId="0" applyFont="1" applyAlignment="1" applyProtection="1">
      <alignment vertical="center"/>
    </xf>
    <xf numFmtId="0" fontId="55" fillId="0" borderId="0" xfId="0" applyFont="1" applyAlignment="1" applyProtection="1">
      <alignment horizontal="center" vertical="center" wrapText="1"/>
    </xf>
    <xf numFmtId="0" fontId="67" fillId="0" borderId="0" xfId="0" applyFont="1" applyAlignment="1" applyProtection="1">
      <alignment vertical="center"/>
    </xf>
    <xf numFmtId="0" fontId="54" fillId="0" borderId="0" xfId="0" applyFont="1" applyProtection="1"/>
    <xf numFmtId="0" fontId="68" fillId="55" borderId="19" xfId="0" applyFont="1" applyFill="1" applyBorder="1" applyAlignment="1" applyProtection="1">
      <alignment vertical="center"/>
    </xf>
    <xf numFmtId="0" fontId="53" fillId="57" borderId="17" xfId="0" applyFont="1" applyFill="1" applyBorder="1" applyAlignment="1" applyProtection="1">
      <alignment horizontal="center" vertical="center" wrapText="1"/>
    </xf>
    <xf numFmtId="3" fontId="69" fillId="57" borderId="17" xfId="0" applyNumberFormat="1" applyFont="1" applyFill="1" applyBorder="1" applyAlignment="1" applyProtection="1">
      <alignment horizontal="center" vertical="center" wrapText="1"/>
    </xf>
    <xf numFmtId="0" fontId="70" fillId="57" borderId="38" xfId="0" applyFont="1" applyFill="1" applyBorder="1" applyAlignment="1" applyProtection="1">
      <alignment horizontal="center" vertical="center" wrapText="1"/>
    </xf>
    <xf numFmtId="0" fontId="53" fillId="57" borderId="38" xfId="0" applyFont="1" applyFill="1" applyBorder="1" applyAlignment="1" applyProtection="1">
      <alignment horizontal="center" vertical="center" wrapText="1"/>
    </xf>
    <xf numFmtId="0" fontId="71" fillId="57" borderId="39" xfId="0" applyFont="1" applyFill="1" applyBorder="1" applyAlignment="1" applyProtection="1">
      <alignment vertical="center"/>
    </xf>
    <xf numFmtId="3" fontId="72" fillId="57" borderId="40" xfId="0" applyNumberFormat="1" applyFont="1" applyFill="1" applyBorder="1" applyAlignment="1" applyProtection="1">
      <alignment horizontal="center" vertical="center" wrapText="1"/>
    </xf>
    <xf numFmtId="0" fontId="73" fillId="57" borderId="20" xfId="0" applyFont="1" applyFill="1" applyBorder="1" applyProtection="1"/>
    <xf numFmtId="0" fontId="73" fillId="0" borderId="0" xfId="0" applyFont="1" applyBorder="1" applyProtection="1"/>
    <xf numFmtId="0" fontId="68" fillId="55" borderId="17" xfId="0" applyFont="1" applyFill="1" applyBorder="1" applyAlignment="1" applyProtection="1">
      <alignment vertical="center"/>
    </xf>
    <xf numFmtId="0" fontId="57" fillId="55" borderId="19" xfId="0" applyFont="1" applyFill="1" applyBorder="1" applyAlignment="1" applyProtection="1">
      <alignment vertical="center"/>
    </xf>
    <xf numFmtId="0" fontId="70" fillId="0" borderId="0" xfId="0" applyFont="1" applyFill="1" applyBorder="1" applyAlignment="1" applyProtection="1">
      <alignment horizontal="center" vertical="center" wrapText="1"/>
    </xf>
    <xf numFmtId="0" fontId="56" fillId="0" borderId="0" xfId="0" applyFont="1" applyFill="1" applyBorder="1" applyProtection="1"/>
    <xf numFmtId="0" fontId="73" fillId="0" borderId="0" xfId="0" applyFont="1" applyFill="1" applyBorder="1" applyProtection="1"/>
    <xf numFmtId="3" fontId="72" fillId="0" borderId="0" xfId="0" applyNumberFormat="1" applyFont="1" applyFill="1" applyBorder="1" applyAlignment="1" applyProtection="1">
      <alignment horizontal="center" vertical="center" wrapText="1"/>
    </xf>
    <xf numFmtId="0" fontId="74" fillId="0" borderId="0" xfId="0" applyFont="1" applyFill="1" applyBorder="1" applyProtection="1"/>
    <xf numFmtId="3" fontId="57" fillId="55" borderId="19" xfId="0" applyNumberFormat="1" applyFont="1" applyFill="1" applyBorder="1" applyAlignment="1" applyProtection="1">
      <alignment horizontal="center" vertical="center"/>
    </xf>
    <xf numFmtId="0" fontId="57" fillId="55" borderId="19" xfId="0" applyFont="1" applyFill="1" applyBorder="1" applyAlignment="1" applyProtection="1">
      <alignment horizontal="center" vertical="center"/>
    </xf>
    <xf numFmtId="0" fontId="2" fillId="0" borderId="0" xfId="1249" quotePrefix="1" applyNumberFormat="1"/>
    <xf numFmtId="0" fontId="50" fillId="0" borderId="0" xfId="1291"/>
    <xf numFmtId="0" fontId="56" fillId="57" borderId="40" xfId="0" applyFont="1" applyFill="1" applyBorder="1" applyProtection="1"/>
    <xf numFmtId="0" fontId="56" fillId="57" borderId="17" xfId="0" applyFont="1" applyFill="1" applyBorder="1" applyProtection="1"/>
    <xf numFmtId="3" fontId="53" fillId="57" borderId="17" xfId="168" applyNumberFormat="1" applyFont="1" applyFill="1" applyBorder="1" applyAlignment="1" applyProtection="1">
      <alignment horizontal="center" vertical="center" wrapText="1"/>
    </xf>
    <xf numFmtId="0" fontId="59" fillId="0" borderId="41" xfId="0" applyFont="1" applyBorder="1" applyAlignment="1">
      <alignment horizontal="right" vertical="center" wrapText="1"/>
    </xf>
    <xf numFmtId="0" fontId="53" fillId="0" borderId="41" xfId="0" applyFont="1" applyBorder="1" applyAlignment="1">
      <alignment vertical="center"/>
    </xf>
    <xf numFmtId="0" fontId="75" fillId="58" borderId="42" xfId="0" applyFont="1" applyFill="1" applyBorder="1" applyAlignment="1">
      <alignment horizontal="center" vertical="center"/>
    </xf>
    <xf numFmtId="0" fontId="57" fillId="55" borderId="43" xfId="0" applyFont="1" applyFill="1" applyBorder="1" applyAlignment="1">
      <alignment vertical="center"/>
    </xf>
    <xf numFmtId="3" fontId="72" fillId="57" borderId="17" xfId="0" applyNumberFormat="1" applyFont="1" applyFill="1" applyBorder="1" applyAlignment="1" applyProtection="1">
      <alignment horizontal="center" vertical="center" wrapText="1"/>
    </xf>
    <xf numFmtId="0" fontId="57" fillId="55" borderId="19" xfId="0" applyFont="1" applyFill="1" applyBorder="1" applyAlignment="1" applyProtection="1">
      <alignment vertical="center"/>
      <protection locked="0"/>
    </xf>
    <xf numFmtId="3" fontId="69" fillId="57" borderId="40" xfId="0" applyNumberFormat="1" applyFont="1" applyFill="1" applyBorder="1" applyAlignment="1" applyProtection="1">
      <alignment horizontal="center" vertical="center" wrapText="1"/>
    </xf>
    <xf numFmtId="0" fontId="59" fillId="56" borderId="27" xfId="0" applyFont="1" applyFill="1" applyBorder="1" applyAlignment="1">
      <alignment vertical="center"/>
    </xf>
    <xf numFmtId="0" fontId="2" fillId="49" borderId="44" xfId="1235" applyFill="1" applyBorder="1" applyProtection="1">
      <protection hidden="1"/>
    </xf>
    <xf numFmtId="0" fontId="2" fillId="49" borderId="45" xfId="1235" applyFill="1" applyBorder="1" applyProtection="1">
      <protection hidden="1"/>
    </xf>
    <xf numFmtId="0" fontId="2" fillId="49" borderId="46" xfId="1235" applyFill="1" applyBorder="1" applyProtection="1">
      <protection hidden="1"/>
    </xf>
    <xf numFmtId="0" fontId="2" fillId="50" borderId="0" xfId="1235" applyFill="1" applyProtection="1"/>
    <xf numFmtId="0" fontId="2" fillId="50" borderId="0" xfId="1235" applyNumberFormat="1" applyFill="1" applyAlignment="1" applyProtection="1">
      <alignment horizontal="left"/>
    </xf>
    <xf numFmtId="0" fontId="2" fillId="49" borderId="47" xfId="1235" applyFill="1" applyBorder="1" applyProtection="1">
      <protection hidden="1"/>
    </xf>
    <xf numFmtId="0" fontId="4" fillId="51" borderId="17" xfId="1235" applyNumberFormat="1" applyFont="1" applyFill="1" applyBorder="1" applyAlignment="1" applyProtection="1">
      <alignment horizontal="left"/>
      <protection hidden="1"/>
    </xf>
    <xf numFmtId="0" fontId="4" fillId="51" borderId="43" xfId="1235" applyNumberFormat="1" applyFont="1" applyFill="1" applyBorder="1" applyAlignment="1" applyProtection="1">
      <alignment horizontal="left"/>
      <protection hidden="1"/>
    </xf>
    <xf numFmtId="0" fontId="4" fillId="51" borderId="18" xfId="1235" applyNumberFormat="1" applyFont="1" applyFill="1" applyBorder="1" applyAlignment="1" applyProtection="1">
      <alignment horizontal="left"/>
      <protection locked="0"/>
    </xf>
    <xf numFmtId="0" fontId="4" fillId="51" borderId="48" xfId="1235" applyNumberFormat="1" applyFont="1" applyFill="1" applyBorder="1" applyAlignment="1" applyProtection="1">
      <alignment horizontal="left"/>
      <protection locked="0"/>
    </xf>
    <xf numFmtId="0" fontId="2" fillId="52" borderId="0" xfId="1235" applyFill="1" applyProtection="1"/>
    <xf numFmtId="0" fontId="2" fillId="52" borderId="0" xfId="1235" quotePrefix="1" applyFill="1" applyProtection="1"/>
    <xf numFmtId="0" fontId="2" fillId="52" borderId="0" xfId="1235" applyNumberFormat="1" applyFill="1" applyAlignment="1" applyProtection="1">
      <alignment horizontal="left"/>
    </xf>
    <xf numFmtId="0" fontId="4" fillId="51" borderId="17" xfId="1235" applyNumberFormat="1" applyFont="1" applyFill="1" applyBorder="1" applyProtection="1">
      <protection hidden="1"/>
    </xf>
    <xf numFmtId="0" fontId="2" fillId="49" borderId="0" xfId="1235" applyFill="1" applyBorder="1" applyProtection="1">
      <protection hidden="1"/>
    </xf>
    <xf numFmtId="0" fontId="2" fillId="49" borderId="49" xfId="1235" applyFill="1" applyBorder="1" applyProtection="1">
      <protection hidden="1"/>
    </xf>
    <xf numFmtId="0" fontId="2" fillId="50" borderId="0" xfId="1235" quotePrefix="1" applyFill="1" applyProtection="1"/>
    <xf numFmtId="0" fontId="7" fillId="49" borderId="0" xfId="1235" applyFont="1" applyFill="1" applyBorder="1" applyProtection="1">
      <protection hidden="1"/>
    </xf>
    <xf numFmtId="0" fontId="4" fillId="49" borderId="0" xfId="1235" applyFont="1" applyFill="1" applyBorder="1" applyProtection="1">
      <protection hidden="1"/>
    </xf>
    <xf numFmtId="0" fontId="4" fillId="51" borderId="17" xfId="1235" applyNumberFormat="1" applyFont="1" applyFill="1" applyBorder="1" applyProtection="1">
      <protection locked="0" hidden="1"/>
    </xf>
    <xf numFmtId="0" fontId="2" fillId="49" borderId="50" xfId="1235" applyFill="1" applyBorder="1" applyProtection="1"/>
    <xf numFmtId="0" fontId="2" fillId="49" borderId="51" xfId="1235" applyFill="1" applyBorder="1" applyProtection="1"/>
    <xf numFmtId="0" fontId="8" fillId="49" borderId="52" xfId="1235" applyFont="1" applyFill="1" applyBorder="1" applyAlignment="1" applyProtection="1">
      <alignment horizontal="right"/>
    </xf>
    <xf numFmtId="0" fontId="2" fillId="48" borderId="0" xfId="1235" applyFill="1" applyProtection="1"/>
    <xf numFmtId="0" fontId="2" fillId="50" borderId="0" xfId="1235" quotePrefix="1" applyNumberFormat="1" applyFill="1" applyAlignment="1" applyProtection="1">
      <alignment horizontal="left"/>
    </xf>
    <xf numFmtId="16" fontId="0" fillId="0" borderId="0" xfId="0" applyNumberFormat="1"/>
    <xf numFmtId="0" fontId="63" fillId="58" borderId="42" xfId="1236" applyFont="1" applyFill="1" applyBorder="1" applyAlignment="1">
      <alignment vertical="center" wrapText="1"/>
    </xf>
    <xf numFmtId="0" fontId="12" fillId="0" borderId="43" xfId="0" applyFont="1" applyBorder="1" applyAlignment="1">
      <alignment vertical="center"/>
    </xf>
    <xf numFmtId="3" fontId="10" fillId="46" borderId="21" xfId="0" applyNumberFormat="1" applyFont="1" applyFill="1" applyBorder="1" applyAlignment="1">
      <alignment horizontal="center" vertical="center" wrapText="1"/>
    </xf>
    <xf numFmtId="3" fontId="10" fillId="46" borderId="48" xfId="0" applyNumberFormat="1" applyFont="1" applyFill="1" applyBorder="1" applyAlignment="1">
      <alignment horizontal="center" vertical="center" wrapText="1"/>
    </xf>
    <xf numFmtId="3" fontId="10" fillId="53" borderId="48" xfId="491" applyNumberFormat="1" applyFont="1" applyFill="1" applyBorder="1" applyAlignment="1" applyProtection="1">
      <alignment horizontal="center" vertical="center" wrapText="1"/>
      <protection locked="0"/>
    </xf>
    <xf numFmtId="3" fontId="9" fillId="59" borderId="17" xfId="491" applyNumberFormat="1" applyFont="1" applyFill="1" applyBorder="1" applyAlignment="1" applyProtection="1">
      <alignment horizontal="center" vertical="center" wrapText="1"/>
    </xf>
    <xf numFmtId="3" fontId="10" fillId="46" borderId="17" xfId="0" applyNumberFormat="1" applyFont="1" applyFill="1" applyBorder="1" applyAlignment="1" applyProtection="1">
      <alignment horizontal="center" vertical="center" wrapText="1"/>
    </xf>
    <xf numFmtId="0" fontId="13" fillId="45" borderId="19" xfId="0" applyFont="1" applyFill="1" applyBorder="1" applyAlignment="1">
      <alignment vertical="center"/>
    </xf>
    <xf numFmtId="0" fontId="13" fillId="45" borderId="53" xfId="0" applyFont="1" applyFill="1" applyBorder="1" applyAlignment="1">
      <alignment vertical="center"/>
    </xf>
    <xf numFmtId="0" fontId="13" fillId="45" borderId="33" xfId="0" applyFont="1" applyFill="1" applyBorder="1" applyAlignment="1">
      <alignment vertical="center"/>
    </xf>
    <xf numFmtId="0" fontId="14" fillId="47" borderId="39" xfId="0" applyFont="1" applyFill="1" applyBorder="1" applyAlignment="1">
      <alignment vertical="center"/>
    </xf>
    <xf numFmtId="3" fontId="15" fillId="47" borderId="32" xfId="0" applyNumberFormat="1" applyFont="1" applyFill="1" applyBorder="1" applyAlignment="1">
      <alignment horizontal="center" vertical="center" wrapText="1"/>
    </xf>
    <xf numFmtId="3" fontId="15" fillId="47" borderId="54" xfId="0" applyNumberFormat="1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left" vertical="top"/>
    </xf>
    <xf numFmtId="0" fontId="76" fillId="0" borderId="17" xfId="0" applyFont="1" applyFill="1" applyBorder="1" applyAlignment="1">
      <alignment horizontal="left" vertical="top" wrapText="1"/>
    </xf>
    <xf numFmtId="0" fontId="77" fillId="0" borderId="17" xfId="0" applyFont="1" applyFill="1" applyBorder="1" applyAlignment="1">
      <alignment vertical="center"/>
    </xf>
    <xf numFmtId="0" fontId="11" fillId="0" borderId="36" xfId="0" applyFont="1" applyBorder="1" applyAlignment="1">
      <alignment vertical="center"/>
    </xf>
    <xf numFmtId="3" fontId="10" fillId="0" borderId="24" xfId="491" applyNumberFormat="1" applyFont="1" applyFill="1" applyBorder="1" applyAlignment="1">
      <alignment horizontal="center" vertical="center" wrapText="1"/>
    </xf>
    <xf numFmtId="3" fontId="9" fillId="0" borderId="55" xfId="491" applyNumberFormat="1" applyFont="1" applyFill="1" applyBorder="1" applyAlignment="1">
      <alignment horizontal="center" vertical="center" wrapText="1"/>
    </xf>
    <xf numFmtId="3" fontId="9" fillId="0" borderId="36" xfId="491" applyNumberFormat="1" applyFont="1" applyFill="1" applyBorder="1" applyAlignment="1">
      <alignment horizontal="center" vertical="center" wrapText="1"/>
    </xf>
    <xf numFmtId="0" fontId="78" fillId="0" borderId="19" xfId="0" applyFont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37" xfId="0" applyFont="1" applyBorder="1" applyAlignment="1">
      <alignment vertical="center"/>
    </xf>
    <xf numFmtId="3" fontId="53" fillId="0" borderId="57" xfId="168" applyNumberFormat="1" applyFont="1" applyBorder="1" applyAlignment="1">
      <alignment horizontal="center" vertical="center" wrapText="1"/>
    </xf>
    <xf numFmtId="3" fontId="54" fillId="60" borderId="37" xfId="168" applyNumberFormat="1" applyFont="1" applyFill="1" applyBorder="1" applyAlignment="1" applyProtection="1">
      <alignment horizontal="center" vertical="center" wrapText="1"/>
      <protection locked="0"/>
    </xf>
    <xf numFmtId="3" fontId="53" fillId="0" borderId="37" xfId="168" applyNumberFormat="1" applyFont="1" applyBorder="1" applyAlignment="1">
      <alignment horizontal="center" vertical="center" wrapText="1"/>
    </xf>
    <xf numFmtId="3" fontId="54" fillId="60" borderId="56" xfId="168" applyNumberFormat="1" applyFont="1" applyFill="1" applyBorder="1" applyAlignment="1" applyProtection="1">
      <alignment horizontal="center" vertical="center" wrapText="1"/>
      <protection locked="0"/>
    </xf>
    <xf numFmtId="3" fontId="53" fillId="0" borderId="56" xfId="168" applyNumberFormat="1" applyFont="1" applyBorder="1" applyAlignment="1">
      <alignment horizontal="center" vertical="center" wrapText="1"/>
    </xf>
    <xf numFmtId="0" fontId="14" fillId="47" borderId="58" xfId="0" applyFont="1" applyFill="1" applyBorder="1"/>
    <xf numFmtId="3" fontId="10" fillId="47" borderId="59" xfId="0" applyNumberFormat="1" applyFont="1" applyFill="1" applyBorder="1" applyAlignment="1">
      <alignment horizontal="center" vertical="center" wrapText="1"/>
    </xf>
    <xf numFmtId="3" fontId="10" fillId="47" borderId="60" xfId="0" applyNumberFormat="1" applyFont="1" applyFill="1" applyBorder="1" applyAlignment="1">
      <alignment horizontal="center" vertical="center" wrapText="1"/>
    </xf>
    <xf numFmtId="0" fontId="11" fillId="46" borderId="61" xfId="0" quotePrefix="1" applyFont="1" applyFill="1" applyBorder="1" applyAlignment="1">
      <alignment vertical="center"/>
    </xf>
    <xf numFmtId="3" fontId="10" fillId="46" borderId="62" xfId="0" applyNumberFormat="1" applyFont="1" applyFill="1" applyBorder="1" applyAlignment="1">
      <alignment horizontal="center" vertical="center" wrapText="1"/>
    </xf>
    <xf numFmtId="3" fontId="10" fillId="46" borderId="63" xfId="0" applyNumberFormat="1" applyFont="1" applyFill="1" applyBorder="1" applyAlignment="1">
      <alignment horizontal="center" vertical="center" wrapText="1"/>
    </xf>
    <xf numFmtId="0" fontId="56" fillId="0" borderId="61" xfId="0" applyFont="1" applyFill="1" applyBorder="1" applyAlignment="1">
      <alignment vertical="center"/>
    </xf>
    <xf numFmtId="0" fontId="65" fillId="0" borderId="64" xfId="0" applyFont="1" applyFill="1" applyBorder="1" applyAlignment="1">
      <alignment vertical="center"/>
    </xf>
    <xf numFmtId="0" fontId="56" fillId="0" borderId="61" xfId="0" applyFont="1" applyBorder="1" applyAlignment="1">
      <alignment vertical="center"/>
    </xf>
    <xf numFmtId="0" fontId="56" fillId="0" borderId="64" xfId="0" applyFont="1" applyBorder="1" applyAlignment="1">
      <alignment vertical="center"/>
    </xf>
    <xf numFmtId="0" fontId="74" fillId="0" borderId="64" xfId="0" applyFont="1" applyBorder="1" applyAlignment="1">
      <alignment vertical="center"/>
    </xf>
    <xf numFmtId="0" fontId="56" fillId="0" borderId="65" xfId="0" applyFont="1" applyBorder="1" applyAlignment="1">
      <alignment vertical="center"/>
    </xf>
    <xf numFmtId="3" fontId="53" fillId="0" borderId="66" xfId="168" applyNumberFormat="1" applyFont="1" applyBorder="1" applyAlignment="1">
      <alignment horizontal="center" vertical="center" wrapText="1"/>
    </xf>
    <xf numFmtId="0" fontId="56" fillId="0" borderId="67" xfId="0" quotePrefix="1" applyFont="1" applyBorder="1" applyAlignment="1">
      <alignment vertical="center"/>
    </xf>
    <xf numFmtId="0" fontId="56" fillId="0" borderId="61" xfId="0" quotePrefix="1" applyFont="1" applyBorder="1" applyAlignment="1">
      <alignment vertical="center"/>
    </xf>
    <xf numFmtId="0" fontId="56" fillId="0" borderId="61" xfId="0" quotePrefix="1" applyFont="1" applyBorder="1" applyAlignment="1">
      <alignment vertical="top"/>
    </xf>
    <xf numFmtId="0" fontId="56" fillId="0" borderId="65" xfId="0" quotePrefix="1" applyFont="1" applyBorder="1" applyAlignment="1">
      <alignment horizontal="left" vertical="center"/>
    </xf>
    <xf numFmtId="3" fontId="54" fillId="60" borderId="66" xfId="168" applyNumberFormat="1" applyFont="1" applyFill="1" applyBorder="1" applyAlignment="1" applyProtection="1">
      <alignment horizontal="center" vertical="center" wrapText="1"/>
      <protection locked="0"/>
    </xf>
    <xf numFmtId="0" fontId="56" fillId="0" borderId="67" xfId="0" applyFont="1" applyBorder="1" applyAlignment="1">
      <alignment vertical="center"/>
    </xf>
    <xf numFmtId="3" fontId="54" fillId="60" borderId="36" xfId="168" applyNumberFormat="1" applyFont="1" applyFill="1" applyBorder="1" applyAlignment="1" applyProtection="1">
      <alignment horizontal="center" vertical="center" wrapText="1"/>
      <protection locked="0"/>
    </xf>
    <xf numFmtId="3" fontId="53" fillId="0" borderId="36" xfId="168" applyNumberFormat="1" applyFont="1" applyBorder="1" applyAlignment="1">
      <alignment horizontal="center" vertical="center" wrapText="1"/>
    </xf>
    <xf numFmtId="0" fontId="74" fillId="0" borderId="61" xfId="0" applyFont="1" applyFill="1" applyBorder="1" applyAlignment="1">
      <alignment vertical="center"/>
    </xf>
    <xf numFmtId="0" fontId="56" fillId="0" borderId="67" xfId="0" applyFont="1" applyFill="1" applyBorder="1" applyAlignment="1">
      <alignment vertical="center"/>
    </xf>
    <xf numFmtId="0" fontId="56" fillId="0" borderId="65" xfId="0" applyFont="1" applyFill="1" applyBorder="1" applyAlignment="1">
      <alignment vertical="center"/>
    </xf>
    <xf numFmtId="0" fontId="13" fillId="45" borderId="43" xfId="0" applyFont="1" applyFill="1" applyBorder="1" applyAlignment="1">
      <alignment vertical="center"/>
    </xf>
    <xf numFmtId="0" fontId="13" fillId="45" borderId="18" xfId="0" applyFont="1" applyFill="1" applyBorder="1" applyAlignment="1">
      <alignment vertical="center"/>
    </xf>
    <xf numFmtId="0" fontId="13" fillId="45" borderId="48" xfId="0" applyFont="1" applyFill="1" applyBorder="1" applyAlignment="1">
      <alignment vertical="center"/>
    </xf>
    <xf numFmtId="0" fontId="12" fillId="54" borderId="39" xfId="0" applyFont="1" applyFill="1" applyBorder="1" applyAlignment="1">
      <alignment vertical="center"/>
    </xf>
    <xf numFmtId="3" fontId="9" fillId="54" borderId="68" xfId="0" applyNumberFormat="1" applyFont="1" applyFill="1" applyBorder="1" applyAlignment="1">
      <alignment horizontal="center" vertical="center" wrapText="1"/>
    </xf>
    <xf numFmtId="3" fontId="9" fillId="54" borderId="69" xfId="0" applyNumberFormat="1" applyFont="1" applyFill="1" applyBorder="1" applyAlignment="1">
      <alignment horizontal="center" vertical="center" wrapText="1"/>
    </xf>
    <xf numFmtId="3" fontId="9" fillId="54" borderId="70" xfId="0" applyNumberFormat="1" applyFont="1" applyFill="1" applyBorder="1" applyAlignment="1">
      <alignment horizontal="center" vertical="center" wrapText="1"/>
    </xf>
    <xf numFmtId="3" fontId="9" fillId="54" borderId="40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9" fillId="46" borderId="21" xfId="0" applyNumberFormat="1" applyFont="1" applyFill="1" applyBorder="1" applyAlignment="1">
      <alignment horizontal="center" vertical="center" wrapText="1"/>
    </xf>
    <xf numFmtId="3" fontId="9" fillId="46" borderId="23" xfId="0" applyNumberFormat="1" applyFont="1" applyFill="1" applyBorder="1" applyAlignment="1">
      <alignment horizontal="center" vertical="center" wrapText="1"/>
    </xf>
    <xf numFmtId="3" fontId="9" fillId="46" borderId="17" xfId="0" applyNumberFormat="1" applyFont="1" applyFill="1" applyBorder="1" applyAlignment="1">
      <alignment horizontal="center" vertical="center" wrapText="1"/>
    </xf>
    <xf numFmtId="3" fontId="9" fillId="59" borderId="17" xfId="491" applyNumberFormat="1" applyFont="1" applyFill="1" applyBorder="1" applyAlignment="1">
      <alignment horizontal="center" vertical="center" wrapText="1"/>
    </xf>
    <xf numFmtId="3" fontId="9" fillId="0" borderId="17" xfId="491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10" fillId="0" borderId="25" xfId="491" applyNumberFormat="1" applyFont="1" applyFill="1" applyBorder="1" applyAlignment="1">
      <alignment horizontal="center" vertical="center" wrapText="1"/>
    </xf>
    <xf numFmtId="3" fontId="54" fillId="60" borderId="71" xfId="168" applyNumberFormat="1" applyFont="1" applyFill="1" applyBorder="1" applyAlignment="1" applyProtection="1">
      <alignment horizontal="center" vertical="center" wrapText="1"/>
      <protection locked="0"/>
    </xf>
    <xf numFmtId="3" fontId="54" fillId="60" borderId="72" xfId="168" applyNumberFormat="1" applyFont="1" applyFill="1" applyBorder="1" applyAlignment="1" applyProtection="1">
      <alignment horizontal="center" vertical="center" wrapText="1"/>
      <protection locked="0"/>
    </xf>
    <xf numFmtId="3" fontId="53" fillId="0" borderId="73" xfId="168" applyNumberFormat="1" applyFont="1" applyBorder="1" applyAlignment="1">
      <alignment horizontal="center" vertical="center" wrapText="1"/>
    </xf>
    <xf numFmtId="3" fontId="54" fillId="60" borderId="26" xfId="168" applyNumberFormat="1" applyFont="1" applyFill="1" applyBorder="1" applyAlignment="1" applyProtection="1">
      <alignment horizontal="center" vertical="center" wrapText="1"/>
      <protection locked="0"/>
    </xf>
    <xf numFmtId="3" fontId="54" fillId="60" borderId="27" xfId="168" applyNumberFormat="1" applyFont="1" applyFill="1" applyBorder="1" applyAlignment="1" applyProtection="1">
      <alignment horizontal="center" vertical="center" wrapText="1"/>
      <protection locked="0"/>
    </xf>
    <xf numFmtId="3" fontId="53" fillId="0" borderId="74" xfId="168" applyNumberFormat="1" applyFont="1" applyBorder="1" applyAlignment="1">
      <alignment horizontal="center" vertical="center" wrapText="1"/>
    </xf>
    <xf numFmtId="3" fontId="54" fillId="60" borderId="30" xfId="168" applyNumberFormat="1" applyFont="1" applyFill="1" applyBorder="1" applyAlignment="1" applyProtection="1">
      <alignment horizontal="center" vertical="center" wrapText="1"/>
      <protection locked="0"/>
    </xf>
    <xf numFmtId="3" fontId="54" fillId="60" borderId="31" xfId="168" applyNumberFormat="1" applyFont="1" applyFill="1" applyBorder="1" applyAlignment="1" applyProtection="1">
      <alignment horizontal="center" vertical="center" wrapText="1"/>
      <protection locked="0"/>
    </xf>
    <xf numFmtId="3" fontId="53" fillId="0" borderId="75" xfId="168" applyNumberFormat="1" applyFont="1" applyBorder="1" applyAlignment="1">
      <alignment horizontal="center" vertical="center" wrapText="1"/>
    </xf>
    <xf numFmtId="3" fontId="54" fillId="60" borderId="68" xfId="168" applyNumberFormat="1" applyFont="1" applyFill="1" applyBorder="1" applyAlignment="1" applyProtection="1">
      <alignment horizontal="center" vertical="center" wrapText="1"/>
      <protection locked="0"/>
    </xf>
    <xf numFmtId="3" fontId="54" fillId="60" borderId="69" xfId="168" applyNumberFormat="1" applyFont="1" applyFill="1" applyBorder="1" applyAlignment="1" applyProtection="1">
      <alignment horizontal="center" vertical="center" wrapText="1"/>
      <protection locked="0"/>
    </xf>
    <xf numFmtId="3" fontId="53" fillId="0" borderId="70" xfId="168" applyNumberFormat="1" applyFont="1" applyBorder="1" applyAlignment="1">
      <alignment horizontal="center" vertical="center" wrapText="1"/>
    </xf>
    <xf numFmtId="3" fontId="54" fillId="60" borderId="24" xfId="168" applyNumberFormat="1" applyFont="1" applyFill="1" applyBorder="1" applyAlignment="1" applyProtection="1">
      <alignment horizontal="center" vertical="center" wrapText="1"/>
      <protection locked="0"/>
    </xf>
    <xf numFmtId="3" fontId="54" fillId="60" borderId="25" xfId="168" applyNumberFormat="1" applyFont="1" applyFill="1" applyBorder="1" applyAlignment="1" applyProtection="1">
      <alignment horizontal="center" vertical="center" wrapText="1"/>
      <protection locked="0"/>
    </xf>
    <xf numFmtId="3" fontId="53" fillId="0" borderId="55" xfId="168" applyNumberFormat="1" applyFont="1" applyBorder="1" applyAlignment="1">
      <alignment horizontal="center" vertical="center" wrapText="1"/>
    </xf>
    <xf numFmtId="3" fontId="54" fillId="60" borderId="76" xfId="168" applyNumberFormat="1" applyFont="1" applyFill="1" applyBorder="1" applyAlignment="1" applyProtection="1">
      <alignment horizontal="center" vertical="center" wrapText="1"/>
      <protection locked="0"/>
    </xf>
    <xf numFmtId="3" fontId="54" fillId="60" borderId="77" xfId="168" applyNumberFormat="1" applyFont="1" applyFill="1" applyBorder="1" applyAlignment="1" applyProtection="1">
      <alignment horizontal="center" vertical="center" wrapText="1"/>
      <protection locked="0"/>
    </xf>
    <xf numFmtId="3" fontId="53" fillId="0" borderId="78" xfId="168" applyNumberFormat="1" applyFont="1" applyBorder="1" applyAlignment="1">
      <alignment horizontal="center" vertical="center" wrapText="1"/>
    </xf>
    <xf numFmtId="3" fontId="54" fillId="60" borderId="21" xfId="168" applyNumberFormat="1" applyFont="1" applyFill="1" applyBorder="1" applyAlignment="1" applyProtection="1">
      <alignment horizontal="center" vertical="center" wrapText="1"/>
      <protection locked="0"/>
    </xf>
    <xf numFmtId="3" fontId="54" fillId="60" borderId="22" xfId="168" applyNumberFormat="1" applyFont="1" applyFill="1" applyBorder="1" applyAlignment="1" applyProtection="1">
      <alignment horizontal="center" vertical="center" wrapText="1"/>
      <protection locked="0"/>
    </xf>
    <xf numFmtId="3" fontId="53" fillId="0" borderId="23" xfId="168" applyNumberFormat="1" applyFont="1" applyBorder="1" applyAlignment="1">
      <alignment horizontal="center" vertical="center" wrapText="1"/>
    </xf>
    <xf numFmtId="3" fontId="9" fillId="56" borderId="36" xfId="491" applyNumberFormat="1" applyFont="1" applyFill="1" applyBorder="1" applyAlignment="1">
      <alignment horizontal="center" vertical="center" wrapText="1"/>
    </xf>
    <xf numFmtId="3" fontId="53" fillId="56" borderId="20" xfId="168" applyNumberFormat="1" applyFont="1" applyFill="1" applyBorder="1" applyAlignment="1">
      <alignment horizontal="center" vertical="center" wrapText="1"/>
    </xf>
    <xf numFmtId="3" fontId="53" fillId="56" borderId="56" xfId="168" applyNumberFormat="1" applyFont="1" applyFill="1" applyBorder="1" applyAlignment="1">
      <alignment horizontal="center" vertical="center" wrapText="1"/>
    </xf>
    <xf numFmtId="3" fontId="53" fillId="56" borderId="37" xfId="168" applyNumberFormat="1" applyFont="1" applyFill="1" applyBorder="1" applyAlignment="1">
      <alignment horizontal="center" vertical="center" wrapText="1"/>
    </xf>
    <xf numFmtId="3" fontId="53" fillId="56" borderId="66" xfId="168" applyNumberFormat="1" applyFont="1" applyFill="1" applyBorder="1" applyAlignment="1">
      <alignment horizontal="center" vertical="center" wrapText="1"/>
    </xf>
    <xf numFmtId="3" fontId="53" fillId="56" borderId="57" xfId="168" applyNumberFormat="1" applyFont="1" applyFill="1" applyBorder="1" applyAlignment="1">
      <alignment horizontal="center" vertical="center" wrapText="1"/>
    </xf>
    <xf numFmtId="3" fontId="53" fillId="56" borderId="17" xfId="168" applyNumberFormat="1" applyFont="1" applyFill="1" applyBorder="1" applyAlignment="1">
      <alignment horizontal="center" vertical="center" wrapText="1"/>
    </xf>
    <xf numFmtId="3" fontId="53" fillId="56" borderId="36" xfId="168" applyNumberFormat="1" applyFont="1" applyFill="1" applyBorder="1" applyAlignment="1">
      <alignment horizontal="center" vertical="center" wrapText="1"/>
    </xf>
    <xf numFmtId="0" fontId="74" fillId="0" borderId="58" xfId="0" applyFont="1" applyFill="1" applyBorder="1" applyAlignment="1">
      <alignment vertical="center" wrapText="1"/>
    </xf>
    <xf numFmtId="3" fontId="53" fillId="57" borderId="17" xfId="0" applyNumberFormat="1" applyFont="1" applyFill="1" applyBorder="1" applyAlignment="1" applyProtection="1">
      <alignment horizontal="center" vertical="center" wrapText="1"/>
    </xf>
    <xf numFmtId="0" fontId="72" fillId="0" borderId="58" xfId="0" applyFont="1" applyBorder="1" applyProtection="1"/>
    <xf numFmtId="3" fontId="72" fillId="60" borderId="36" xfId="168" applyNumberFormat="1" applyFont="1" applyFill="1" applyBorder="1" applyAlignment="1" applyProtection="1">
      <alignment horizontal="center" vertical="center" wrapText="1"/>
      <protection locked="0"/>
    </xf>
    <xf numFmtId="3" fontId="54" fillId="0" borderId="36" xfId="168" applyNumberFormat="1" applyFont="1" applyFill="1" applyBorder="1" applyAlignment="1" applyProtection="1">
      <alignment horizontal="center" vertical="center" wrapText="1"/>
    </xf>
    <xf numFmtId="0" fontId="72" fillId="0" borderId="61" xfId="0" applyFont="1" applyBorder="1" applyProtection="1"/>
    <xf numFmtId="3" fontId="72" fillId="60" borderId="56" xfId="168" applyNumberFormat="1" applyFont="1" applyFill="1" applyBorder="1" applyAlignment="1" applyProtection="1">
      <alignment horizontal="center" vertical="center" wrapText="1"/>
      <protection locked="0"/>
    </xf>
    <xf numFmtId="3" fontId="54" fillId="0" borderId="56" xfId="168" applyNumberFormat="1" applyFont="1" applyFill="1" applyBorder="1" applyAlignment="1" applyProtection="1">
      <alignment horizontal="center" vertical="center" wrapText="1"/>
    </xf>
    <xf numFmtId="0" fontId="72" fillId="0" borderId="36" xfId="0" applyFont="1" applyBorder="1" applyProtection="1"/>
    <xf numFmtId="0" fontId="73" fillId="60" borderId="56" xfId="0" applyFont="1" applyFill="1" applyBorder="1" applyProtection="1">
      <protection locked="0"/>
    </xf>
    <xf numFmtId="0" fontId="72" fillId="0" borderId="37" xfId="0" applyFont="1" applyBorder="1" applyProtection="1"/>
    <xf numFmtId="3" fontId="72" fillId="60" borderId="37" xfId="168" applyNumberFormat="1" applyFont="1" applyFill="1" applyBorder="1" applyAlignment="1" applyProtection="1">
      <alignment horizontal="center" vertical="center" wrapText="1"/>
      <protection locked="0"/>
    </xf>
    <xf numFmtId="0" fontId="73" fillId="60" borderId="37" xfId="0" applyFont="1" applyFill="1" applyBorder="1" applyProtection="1">
      <protection locked="0"/>
    </xf>
    <xf numFmtId="3" fontId="72" fillId="0" borderId="36" xfId="168" applyNumberFormat="1" applyFont="1" applyFill="1" applyBorder="1" applyAlignment="1" applyProtection="1">
      <alignment horizontal="center" vertical="center" wrapText="1"/>
    </xf>
    <xf numFmtId="3" fontId="72" fillId="0" borderId="56" xfId="168" applyNumberFormat="1" applyFont="1" applyFill="1" applyBorder="1" applyAlignment="1" applyProtection="1">
      <alignment horizontal="center" vertical="center" wrapText="1"/>
    </xf>
    <xf numFmtId="0" fontId="79" fillId="61" borderId="36" xfId="0" applyFont="1" applyFill="1" applyBorder="1" applyProtection="1">
      <protection hidden="1"/>
    </xf>
    <xf numFmtId="0" fontId="79" fillId="61" borderId="56" xfId="0" applyFont="1" applyFill="1" applyBorder="1" applyProtection="1">
      <protection hidden="1"/>
    </xf>
    <xf numFmtId="0" fontId="79" fillId="61" borderId="37" xfId="0" applyFont="1" applyFill="1" applyBorder="1" applyProtection="1">
      <protection hidden="1"/>
    </xf>
    <xf numFmtId="0" fontId="53" fillId="57" borderId="17" xfId="0" applyFont="1" applyFill="1" applyBorder="1" applyAlignment="1">
      <alignment horizontal="center" vertical="center" wrapText="1"/>
    </xf>
    <xf numFmtId="0" fontId="70" fillId="57" borderId="38" xfId="0" applyFont="1" applyFill="1" applyBorder="1" applyAlignment="1">
      <alignment horizontal="center" vertical="center" wrapText="1"/>
    </xf>
    <xf numFmtId="0" fontId="68" fillId="55" borderId="53" xfId="0" applyFont="1" applyFill="1" applyBorder="1" applyAlignment="1">
      <alignment vertical="center"/>
    </xf>
    <xf numFmtId="3" fontId="69" fillId="57" borderId="17" xfId="0" applyNumberFormat="1" applyFont="1" applyFill="1" applyBorder="1" applyAlignment="1">
      <alignment horizontal="center" vertical="center" wrapText="1"/>
    </xf>
    <xf numFmtId="0" fontId="73" fillId="60" borderId="66" xfId="0" applyFont="1" applyFill="1" applyBorder="1" applyProtection="1">
      <protection locked="0"/>
    </xf>
    <xf numFmtId="0" fontId="71" fillId="57" borderId="17" xfId="0" applyFont="1" applyFill="1" applyBorder="1" applyAlignment="1" applyProtection="1">
      <alignment vertical="center"/>
    </xf>
    <xf numFmtId="0" fontId="73" fillId="57" borderId="17" xfId="0" applyFont="1" applyFill="1" applyBorder="1" applyProtection="1"/>
    <xf numFmtId="3" fontId="54" fillId="62" borderId="17" xfId="168" applyNumberFormat="1" applyFont="1" applyFill="1" applyBorder="1" applyAlignment="1" applyProtection="1">
      <alignment horizontal="center" vertical="center" wrapText="1"/>
    </xf>
    <xf numFmtId="0" fontId="72" fillId="0" borderId="17" xfId="0" applyFont="1" applyBorder="1" applyProtection="1"/>
    <xf numFmtId="3" fontId="54" fillId="0" borderId="37" xfId="168" applyNumberFormat="1" applyFont="1" applyFill="1" applyBorder="1" applyAlignment="1" applyProtection="1">
      <alignment horizontal="center" vertical="center" wrapText="1"/>
    </xf>
    <xf numFmtId="3" fontId="54" fillId="60" borderId="36" xfId="168" applyNumberFormat="1" applyFont="1" applyFill="1" applyBorder="1" applyAlignment="1" applyProtection="1">
      <alignment horizontal="center" vertical="center" wrapText="1"/>
    </xf>
    <xf numFmtId="3" fontId="54" fillId="60" borderId="37" xfId="168" applyNumberFormat="1" applyFont="1" applyFill="1" applyBorder="1" applyAlignment="1" applyProtection="1">
      <alignment horizontal="center" vertical="center" wrapText="1"/>
    </xf>
    <xf numFmtId="0" fontId="72" fillId="60" borderId="36" xfId="0" applyFont="1" applyFill="1" applyBorder="1" applyProtection="1">
      <protection locked="0"/>
    </xf>
    <xf numFmtId="0" fontId="73" fillId="57" borderId="37" xfId="0" applyFont="1" applyFill="1" applyBorder="1" applyProtection="1"/>
    <xf numFmtId="3" fontId="54" fillId="60" borderId="17" xfId="168" applyNumberFormat="1" applyFont="1" applyFill="1" applyBorder="1" applyAlignment="1" applyProtection="1">
      <alignment horizontal="center" vertical="center" wrapText="1"/>
    </xf>
    <xf numFmtId="3" fontId="54" fillId="60" borderId="17" xfId="168" applyNumberFormat="1" applyFont="1" applyFill="1" applyBorder="1" applyAlignment="1" applyProtection="1">
      <alignment horizontal="center" vertical="center" wrapText="1"/>
      <protection locked="0"/>
    </xf>
    <xf numFmtId="3" fontId="54" fillId="62" borderId="36" xfId="168" applyNumberFormat="1" applyFont="1" applyFill="1" applyBorder="1" applyAlignment="1" applyProtection="1">
      <alignment horizontal="center" vertical="center" wrapText="1"/>
    </xf>
    <xf numFmtId="0" fontId="68" fillId="55" borderId="17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71" fillId="57" borderId="64" xfId="0" applyFont="1" applyFill="1" applyBorder="1" applyAlignment="1" applyProtection="1">
      <alignment vertical="center"/>
    </xf>
    <xf numFmtId="3" fontId="72" fillId="57" borderId="37" xfId="0" applyNumberFormat="1" applyFont="1" applyFill="1" applyBorder="1" applyAlignment="1" applyProtection="1">
      <alignment horizontal="center" vertical="center" wrapText="1"/>
    </xf>
    <xf numFmtId="3" fontId="53" fillId="0" borderId="36" xfId="168" applyNumberFormat="1" applyFont="1" applyBorder="1" applyAlignment="1" applyProtection="1">
      <alignment horizontal="center" vertical="center" wrapText="1"/>
    </xf>
    <xf numFmtId="3" fontId="53" fillId="0" borderId="56" xfId="168" applyNumberFormat="1" applyFont="1" applyBorder="1" applyAlignment="1" applyProtection="1">
      <alignment horizontal="center" vertical="center" wrapText="1"/>
    </xf>
    <xf numFmtId="3" fontId="53" fillId="0" borderId="37" xfId="168" applyNumberFormat="1" applyFont="1" applyBorder="1" applyAlignment="1" applyProtection="1">
      <alignment horizontal="center" vertical="center" wrapText="1"/>
    </xf>
    <xf numFmtId="3" fontId="53" fillId="0" borderId="66" xfId="168" applyNumberFormat="1" applyFont="1" applyBorder="1" applyAlignment="1" applyProtection="1">
      <alignment horizontal="center" vertical="center" wrapText="1"/>
    </xf>
    <xf numFmtId="3" fontId="80" fillId="0" borderId="55" xfId="1553" applyNumberFormat="1" applyFont="1" applyFill="1" applyBorder="1" applyAlignment="1" applyProtection="1">
      <alignment horizontal="center" vertical="center"/>
      <protection hidden="1"/>
    </xf>
    <xf numFmtId="3" fontId="80" fillId="0" borderId="74" xfId="1553" applyNumberFormat="1" applyFont="1" applyFill="1" applyBorder="1" applyAlignment="1" applyProtection="1">
      <alignment horizontal="center" vertical="center"/>
      <protection hidden="1"/>
    </xf>
    <xf numFmtId="3" fontId="80" fillId="0" borderId="56" xfId="1553" applyNumberFormat="1" applyFont="1" applyFill="1" applyBorder="1" applyAlignment="1" applyProtection="1">
      <alignment horizontal="center" vertical="center"/>
      <protection hidden="1"/>
    </xf>
    <xf numFmtId="3" fontId="81" fillId="0" borderId="74" xfId="1553" applyNumberFormat="1" applyFont="1" applyFill="1" applyBorder="1" applyAlignment="1" applyProtection="1">
      <alignment horizontal="center" vertical="center"/>
      <protection hidden="1"/>
    </xf>
    <xf numFmtId="3" fontId="81" fillId="0" borderId="56" xfId="1553" applyNumberFormat="1" applyFont="1" applyFill="1" applyBorder="1" applyAlignment="1" applyProtection="1">
      <alignment horizontal="center" vertical="center"/>
      <protection hidden="1"/>
    </xf>
    <xf numFmtId="3" fontId="80" fillId="0" borderId="36" xfId="1553" applyNumberFormat="1" applyFont="1" applyFill="1" applyBorder="1" applyAlignment="1" applyProtection="1">
      <alignment horizontal="center" vertical="center"/>
      <protection hidden="1"/>
    </xf>
    <xf numFmtId="3" fontId="80" fillId="56" borderId="74" xfId="1553" applyNumberFormat="1" applyFont="1" applyFill="1" applyBorder="1" applyAlignment="1" applyProtection="1">
      <alignment horizontal="center" vertical="center"/>
      <protection hidden="1"/>
    </xf>
    <xf numFmtId="3" fontId="80" fillId="56" borderId="56" xfId="1553" applyNumberFormat="1" applyFont="1" applyFill="1" applyBorder="1" applyAlignment="1" applyProtection="1">
      <alignment horizontal="center" vertical="center"/>
      <protection hidden="1"/>
    </xf>
    <xf numFmtId="3" fontId="82" fillId="56" borderId="74" xfId="1553" applyNumberFormat="1" applyFont="1" applyFill="1" applyBorder="1" applyAlignment="1" applyProtection="1">
      <alignment horizontal="center" vertical="center"/>
      <protection hidden="1"/>
    </xf>
    <xf numFmtId="3" fontId="82" fillId="56" borderId="56" xfId="1553" applyNumberFormat="1" applyFont="1" applyFill="1" applyBorder="1" applyAlignment="1" applyProtection="1">
      <alignment horizontal="center" vertical="center"/>
      <protection hidden="1"/>
    </xf>
    <xf numFmtId="3" fontId="82" fillId="56" borderId="79" xfId="1553" applyNumberFormat="1" applyFont="1" applyFill="1" applyBorder="1" applyAlignment="1" applyProtection="1">
      <alignment horizontal="center" vertical="center"/>
      <protection hidden="1"/>
    </xf>
    <xf numFmtId="3" fontId="82" fillId="56" borderId="66" xfId="1553" applyNumberFormat="1" applyFont="1" applyFill="1" applyBorder="1" applyAlignment="1" applyProtection="1">
      <alignment horizontal="center" vertical="center"/>
      <protection hidden="1"/>
    </xf>
    <xf numFmtId="3" fontId="82" fillId="56" borderId="75" xfId="1553" applyNumberFormat="1" applyFont="1" applyFill="1" applyBorder="1" applyAlignment="1" applyProtection="1">
      <alignment horizontal="center" vertical="center"/>
      <protection hidden="1"/>
    </xf>
    <xf numFmtId="3" fontId="82" fillId="56" borderId="37" xfId="1553" applyNumberFormat="1" applyFont="1" applyFill="1" applyBorder="1" applyAlignment="1" applyProtection="1">
      <alignment horizontal="center" vertical="center"/>
      <protection hidden="1"/>
    </xf>
    <xf numFmtId="0" fontId="50" fillId="0" borderId="0" xfId="1291" applyNumberFormat="1" applyFont="1"/>
    <xf numFmtId="0" fontId="50" fillId="0" borderId="0" xfId="1291" quotePrefix="1" applyNumberFormat="1" applyFont="1"/>
    <xf numFmtId="0" fontId="50" fillId="0" borderId="0" xfId="1291" quotePrefix="1" applyNumberFormat="1"/>
    <xf numFmtId="0" fontId="83" fillId="0" borderId="80" xfId="1275" applyFont="1" applyFill="1" applyBorder="1" applyAlignment="1">
      <alignment vertical="center"/>
    </xf>
    <xf numFmtId="167" fontId="59" fillId="0" borderId="0" xfId="0" applyNumberFormat="1" applyFont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 wrapText="1"/>
    </xf>
    <xf numFmtId="0" fontId="62" fillId="0" borderId="0" xfId="0" applyFont="1" applyBorder="1" applyAlignment="1">
      <alignment horizontal="center" vertical="center"/>
    </xf>
    <xf numFmtId="0" fontId="75" fillId="58" borderId="80" xfId="0" applyFont="1" applyFill="1" applyBorder="1" applyAlignment="1">
      <alignment horizontal="center" vertical="center"/>
    </xf>
    <xf numFmtId="0" fontId="64" fillId="0" borderId="80" xfId="0" applyFont="1" applyBorder="1" applyAlignment="1">
      <alignment vertical="center"/>
    </xf>
    <xf numFmtId="0" fontId="64" fillId="0" borderId="80" xfId="0" applyFont="1" applyBorder="1" applyAlignment="1">
      <alignment horizontal="center" vertical="center"/>
    </xf>
    <xf numFmtId="0" fontId="64" fillId="0" borderId="80" xfId="0" applyFont="1" applyBorder="1" applyAlignment="1">
      <alignment horizontal="left" vertical="center"/>
    </xf>
    <xf numFmtId="0" fontId="80" fillId="0" borderId="81" xfId="0" applyFont="1" applyFill="1" applyBorder="1" applyAlignment="1">
      <alignment horizontal="center" vertical="center"/>
    </xf>
    <xf numFmtId="0" fontId="60" fillId="0" borderId="82" xfId="0" applyFont="1" applyBorder="1" applyAlignment="1">
      <alignment horizontal="right" vertical="center"/>
    </xf>
    <xf numFmtId="0" fontId="84" fillId="0" borderId="0" xfId="1278" applyFont="1" applyFill="1" applyBorder="1" applyAlignment="1">
      <alignment horizontal="center" vertical="center" wrapText="1"/>
    </xf>
    <xf numFmtId="0" fontId="81" fillId="0" borderId="0" xfId="1278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85" fillId="0" borderId="0" xfId="1278" applyFont="1" applyFill="1" applyBorder="1" applyAlignment="1">
      <alignment horizontal="center" vertical="center" wrapText="1"/>
    </xf>
    <xf numFmtId="0" fontId="17" fillId="0" borderId="0" xfId="1278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vertical="center"/>
    </xf>
    <xf numFmtId="0" fontId="62" fillId="58" borderId="80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3" fontId="81" fillId="0" borderId="56" xfId="1553" applyNumberFormat="1" applyFont="1" applyFill="1" applyBorder="1" applyAlignment="1">
      <alignment horizontal="center" vertical="center"/>
    </xf>
    <xf numFmtId="0" fontId="86" fillId="63" borderId="0" xfId="0" applyFont="1" applyFill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vertical="center"/>
    </xf>
    <xf numFmtId="0" fontId="80" fillId="56" borderId="17" xfId="0" applyFont="1" applyFill="1" applyBorder="1" applyAlignment="1">
      <alignment horizontal="center" vertical="center"/>
    </xf>
    <xf numFmtId="0" fontId="64" fillId="56" borderId="17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3" fontId="80" fillId="0" borderId="17" xfId="1553" applyNumberFormat="1" applyFont="1" applyFill="1" applyBorder="1" applyAlignment="1">
      <alignment horizontal="center" vertical="center"/>
    </xf>
    <xf numFmtId="167" fontId="82" fillId="0" borderId="17" xfId="1553" applyNumberFormat="1" applyFont="1" applyFill="1" applyBorder="1" applyAlignment="1">
      <alignment horizontal="left" vertical="center"/>
    </xf>
    <xf numFmtId="167" fontId="82" fillId="0" borderId="17" xfId="1553" applyNumberFormat="1" applyFont="1" applyFill="1" applyBorder="1" applyAlignment="1">
      <alignment horizontal="center" vertical="center"/>
    </xf>
    <xf numFmtId="167" fontId="80" fillId="0" borderId="17" xfId="1553" applyNumberFormat="1" applyFont="1" applyFill="1" applyBorder="1" applyAlignment="1">
      <alignment horizontal="left" vertical="center"/>
    </xf>
    <xf numFmtId="167" fontId="80" fillId="0" borderId="17" xfId="1553" applyNumberFormat="1" applyFont="1" applyFill="1" applyBorder="1" applyAlignment="1">
      <alignment horizontal="center" vertical="center"/>
    </xf>
    <xf numFmtId="0" fontId="80" fillId="56" borderId="43" xfId="0" applyFont="1" applyFill="1" applyBorder="1" applyAlignment="1">
      <alignment vertical="center" wrapText="1"/>
    </xf>
    <xf numFmtId="0" fontId="64" fillId="56" borderId="18" xfId="0" applyFont="1" applyFill="1" applyBorder="1" applyAlignment="1">
      <alignment horizontal="center" vertical="center"/>
    </xf>
    <xf numFmtId="0" fontId="64" fillId="56" borderId="48" xfId="0" applyFont="1" applyFill="1" applyBorder="1" applyAlignment="1">
      <alignment horizontal="center" vertical="center"/>
    </xf>
    <xf numFmtId="0" fontId="80" fillId="0" borderId="43" xfId="0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 vertical="center" wrapText="1"/>
    </xf>
    <xf numFmtId="0" fontId="62" fillId="0" borderId="18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80" fillId="0" borderId="36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vertical="center"/>
    </xf>
    <xf numFmtId="3" fontId="82" fillId="0" borderId="36" xfId="1553" applyNumberFormat="1" applyFont="1" applyFill="1" applyBorder="1" applyAlignment="1">
      <alignment horizontal="center" vertical="center"/>
    </xf>
    <xf numFmtId="3" fontId="80" fillId="0" borderId="36" xfId="1553" applyNumberFormat="1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1" fillId="0" borderId="56" xfId="0" applyFont="1" applyFill="1" applyBorder="1" applyAlignment="1">
      <alignment horizontal="left" vertical="center" wrapText="1" indent="2"/>
    </xf>
    <xf numFmtId="0" fontId="61" fillId="0" borderId="56" xfId="0" applyFont="1" applyFill="1" applyBorder="1" applyAlignment="1">
      <alignment horizontal="left" vertical="center" indent="2"/>
    </xf>
    <xf numFmtId="0" fontId="80" fillId="0" borderId="56" xfId="0" applyFont="1" applyFill="1" applyBorder="1" applyAlignment="1">
      <alignment horizontal="center" vertical="center" wrapText="1"/>
    </xf>
    <xf numFmtId="0" fontId="59" fillId="0" borderId="56" xfId="0" applyFont="1" applyBorder="1" applyAlignment="1">
      <alignment vertical="center"/>
    </xf>
    <xf numFmtId="3" fontId="82" fillId="0" borderId="56" xfId="1553" applyNumberFormat="1" applyFont="1" applyFill="1" applyBorder="1" applyAlignment="1">
      <alignment horizontal="center" vertical="center"/>
    </xf>
    <xf numFmtId="3" fontId="80" fillId="0" borderId="56" xfId="1553" applyNumberFormat="1" applyFont="1" applyFill="1" applyBorder="1" applyAlignment="1">
      <alignment horizontal="center" vertical="center"/>
    </xf>
    <xf numFmtId="0" fontId="80" fillId="0" borderId="37" xfId="0" applyFont="1" applyFill="1" applyBorder="1" applyAlignment="1">
      <alignment horizontal="center" vertical="center" wrapText="1"/>
    </xf>
    <xf numFmtId="0" fontId="59" fillId="0" borderId="37" xfId="0" applyFont="1" applyBorder="1" applyAlignment="1">
      <alignment vertical="center"/>
    </xf>
    <xf numFmtId="3" fontId="82" fillId="0" borderId="37" xfId="1553" applyNumberFormat="1" applyFont="1" applyFill="1" applyBorder="1" applyAlignment="1">
      <alignment horizontal="center" vertical="center"/>
    </xf>
    <xf numFmtId="3" fontId="80" fillId="0" borderId="37" xfId="1553" applyNumberFormat="1" applyFont="1" applyFill="1" applyBorder="1" applyAlignment="1">
      <alignment horizontal="center" vertical="center"/>
    </xf>
    <xf numFmtId="0" fontId="59" fillId="0" borderId="36" xfId="0" applyFont="1" applyBorder="1" applyAlignment="1">
      <alignment vertical="center"/>
    </xf>
    <xf numFmtId="0" fontId="59" fillId="0" borderId="56" xfId="0" applyFont="1" applyFill="1" applyBorder="1" applyAlignment="1">
      <alignment vertical="center"/>
    </xf>
    <xf numFmtId="0" fontId="59" fillId="0" borderId="37" xfId="0" applyFont="1" applyFill="1" applyBorder="1" applyAlignment="1">
      <alignment vertical="center"/>
    </xf>
    <xf numFmtId="0" fontId="61" fillId="0" borderId="56" xfId="0" applyFont="1" applyBorder="1" applyAlignment="1">
      <alignment horizontal="left" vertical="center" indent="2"/>
    </xf>
    <xf numFmtId="0" fontId="59" fillId="0" borderId="56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left" vertical="center" indent="2"/>
    </xf>
    <xf numFmtId="3" fontId="81" fillId="0" borderId="37" xfId="1553" applyNumberFormat="1" applyFont="1" applyFill="1" applyBorder="1" applyAlignment="1">
      <alignment horizontal="center" vertical="center"/>
    </xf>
    <xf numFmtId="3" fontId="87" fillId="0" borderId="36" xfId="1553" applyNumberFormat="1" applyFont="1" applyFill="1" applyBorder="1" applyAlignment="1">
      <alignment horizontal="center" vertical="center"/>
    </xf>
    <xf numFmtId="0" fontId="61" fillId="0" borderId="56" xfId="0" applyFont="1" applyFill="1" applyBorder="1" applyAlignment="1">
      <alignment horizontal="left" vertical="center" indent="4"/>
    </xf>
    <xf numFmtId="0" fontId="61" fillId="0" borderId="37" xfId="0" applyFont="1" applyBorder="1" applyAlignment="1">
      <alignment horizontal="left" vertical="center" indent="2"/>
    </xf>
    <xf numFmtId="0" fontId="0" fillId="0" borderId="0" xfId="0" quotePrefix="1"/>
    <xf numFmtId="0" fontId="50" fillId="0" borderId="0" xfId="1291" applyFont="1"/>
    <xf numFmtId="0" fontId="53" fillId="57" borderId="43" xfId="0" applyFont="1" applyFill="1" applyBorder="1" applyAlignment="1" applyProtection="1">
      <alignment horizontal="center" vertical="center" wrapText="1"/>
    </xf>
    <xf numFmtId="0" fontId="53" fillId="57" borderId="83" xfId="0" applyFont="1" applyFill="1" applyBorder="1" applyAlignment="1" applyProtection="1">
      <alignment horizontal="center" vertical="center" wrapText="1"/>
    </xf>
    <xf numFmtId="0" fontId="53" fillId="57" borderId="84" xfId="0" applyFont="1" applyFill="1" applyBorder="1" applyAlignment="1" applyProtection="1">
      <alignment horizontal="center" vertical="center" wrapText="1"/>
    </xf>
    <xf numFmtId="0" fontId="53" fillId="57" borderId="85" xfId="0" applyFont="1" applyFill="1" applyBorder="1" applyAlignment="1" applyProtection="1">
      <alignment horizontal="center" vertical="center" wrapText="1"/>
    </xf>
    <xf numFmtId="3" fontId="69" fillId="57" borderId="48" xfId="0" applyNumberFormat="1" applyFont="1" applyFill="1" applyBorder="1" applyAlignment="1" applyProtection="1">
      <alignment horizontal="center" vertical="center" wrapText="1"/>
    </xf>
    <xf numFmtId="3" fontId="72" fillId="60" borderId="58" xfId="168" applyNumberFormat="1" applyFont="1" applyFill="1" applyBorder="1" applyAlignment="1" applyProtection="1">
      <alignment horizontal="center" vertical="center" wrapText="1"/>
      <protection locked="0"/>
    </xf>
    <xf numFmtId="3" fontId="54" fillId="60" borderId="86" xfId="168" applyNumberFormat="1" applyFont="1" applyFill="1" applyBorder="1" applyAlignment="1" applyProtection="1">
      <alignment horizontal="center" vertical="center" wrapText="1"/>
      <protection locked="0"/>
    </xf>
    <xf numFmtId="3" fontId="72" fillId="60" borderId="87" xfId="168" applyNumberFormat="1" applyFont="1" applyFill="1" applyBorder="1" applyAlignment="1" applyProtection="1">
      <alignment horizontal="center" vertical="center" wrapText="1"/>
      <protection locked="0"/>
    </xf>
    <xf numFmtId="3" fontId="72" fillId="60" borderId="61" xfId="168" applyNumberFormat="1" applyFont="1" applyFill="1" applyBorder="1" applyAlignment="1" applyProtection="1">
      <alignment horizontal="center" vertical="center" wrapText="1"/>
      <protection locked="0"/>
    </xf>
    <xf numFmtId="3" fontId="54" fillId="60" borderId="88" xfId="168" applyNumberFormat="1" applyFont="1" applyFill="1" applyBorder="1" applyAlignment="1" applyProtection="1">
      <alignment horizontal="center" vertical="center" wrapText="1"/>
      <protection locked="0"/>
    </xf>
    <xf numFmtId="3" fontId="72" fillId="60" borderId="89" xfId="168" applyNumberFormat="1" applyFont="1" applyFill="1" applyBorder="1" applyAlignment="1" applyProtection="1">
      <alignment horizontal="center" vertical="center" wrapText="1"/>
      <protection locked="0"/>
    </xf>
    <xf numFmtId="3" fontId="72" fillId="57" borderId="39" xfId="0" applyNumberFormat="1" applyFont="1" applyFill="1" applyBorder="1" applyAlignment="1" applyProtection="1">
      <alignment horizontal="center" vertical="center" wrapText="1"/>
    </xf>
    <xf numFmtId="3" fontId="72" fillId="57" borderId="90" xfId="0" applyNumberFormat="1" applyFont="1" applyFill="1" applyBorder="1" applyAlignment="1" applyProtection="1">
      <alignment horizontal="center" vertical="center" wrapText="1"/>
    </xf>
    <xf numFmtId="3" fontId="72" fillId="57" borderId="91" xfId="0" applyNumberFormat="1" applyFont="1" applyFill="1" applyBorder="1" applyAlignment="1" applyProtection="1">
      <alignment horizontal="center" vertical="center" wrapText="1"/>
    </xf>
    <xf numFmtId="3" fontId="72" fillId="57" borderId="54" xfId="0" applyNumberFormat="1" applyFont="1" applyFill="1" applyBorder="1" applyAlignment="1" applyProtection="1">
      <alignment horizontal="center" vertical="center" wrapText="1"/>
    </xf>
    <xf numFmtId="3" fontId="54" fillId="60" borderId="58" xfId="168" applyNumberFormat="1" applyFont="1" applyFill="1" applyBorder="1" applyAlignment="1" applyProtection="1">
      <alignment horizontal="center" vertical="center" wrapText="1"/>
      <protection locked="0"/>
    </xf>
    <xf numFmtId="3" fontId="54" fillId="60" borderId="64" xfId="168" applyNumberFormat="1" applyFont="1" applyFill="1" applyBorder="1" applyAlignment="1" applyProtection="1">
      <alignment horizontal="center" vertical="center" wrapText="1"/>
      <protection locked="0"/>
    </xf>
    <xf numFmtId="3" fontId="54" fillId="62" borderId="37" xfId="168" applyNumberFormat="1" applyFont="1" applyFill="1" applyBorder="1" applyAlignment="1" applyProtection="1">
      <alignment horizontal="center" vertical="center" wrapText="1"/>
    </xf>
    <xf numFmtId="3" fontId="54" fillId="0" borderId="17" xfId="168" applyNumberFormat="1" applyFont="1" applyFill="1" applyBorder="1" applyAlignment="1" applyProtection="1">
      <alignment horizontal="center" vertical="center" wrapText="1"/>
    </xf>
    <xf numFmtId="3" fontId="72" fillId="62" borderId="17" xfId="0" applyNumberFormat="1" applyFont="1" applyFill="1" applyBorder="1" applyAlignment="1" applyProtection="1">
      <alignment horizontal="center" vertical="center" wrapText="1"/>
    </xf>
    <xf numFmtId="3" fontId="73" fillId="0" borderId="0" xfId="0" applyNumberFormat="1" applyFont="1" applyBorder="1" applyProtection="1"/>
    <xf numFmtId="3" fontId="72" fillId="60" borderId="57" xfId="168" applyNumberFormat="1" applyFont="1" applyFill="1" applyBorder="1" applyAlignment="1" applyProtection="1">
      <alignment horizontal="center" vertical="center" wrapText="1"/>
      <protection locked="0"/>
    </xf>
    <xf numFmtId="3" fontId="54" fillId="62" borderId="86" xfId="168" applyNumberFormat="1" applyFont="1" applyFill="1" applyBorder="1" applyAlignment="1" applyProtection="1">
      <alignment horizontal="center" vertical="center" wrapText="1"/>
    </xf>
    <xf numFmtId="3" fontId="54" fillId="0" borderId="92" xfId="168" applyNumberFormat="1" applyFont="1" applyFill="1" applyBorder="1" applyAlignment="1" applyProtection="1">
      <alignment horizontal="center" vertical="center" wrapText="1"/>
    </xf>
    <xf numFmtId="3" fontId="54" fillId="0" borderId="86" xfId="168" applyNumberFormat="1" applyFont="1" applyFill="1" applyBorder="1" applyAlignment="1" applyProtection="1">
      <alignment horizontal="center" vertical="center" wrapText="1"/>
    </xf>
    <xf numFmtId="3" fontId="54" fillId="62" borderId="93" xfId="168" applyNumberFormat="1" applyFont="1" applyFill="1" applyBorder="1" applyAlignment="1" applyProtection="1">
      <alignment horizontal="center" vertical="center" wrapText="1"/>
    </xf>
    <xf numFmtId="0" fontId="73" fillId="62" borderId="36" xfId="0" applyFont="1" applyFill="1" applyBorder="1" applyProtection="1"/>
    <xf numFmtId="0" fontId="73" fillId="62" borderId="87" xfId="0" applyFont="1" applyFill="1" applyBorder="1" applyProtection="1"/>
    <xf numFmtId="3" fontId="54" fillId="62" borderId="94" xfId="168" applyNumberFormat="1" applyFont="1" applyFill="1" applyBorder="1" applyAlignment="1" applyProtection="1">
      <alignment horizontal="center" vertical="center" wrapText="1"/>
    </xf>
    <xf numFmtId="0" fontId="73" fillId="62" borderId="95" xfId="0" applyFont="1" applyFill="1" applyBorder="1" applyProtection="1"/>
    <xf numFmtId="0" fontId="73" fillId="62" borderId="96" xfId="0" applyFont="1" applyFill="1" applyBorder="1" applyProtection="1"/>
    <xf numFmtId="3" fontId="72" fillId="60" borderId="20" xfId="168" applyNumberFormat="1" applyFont="1" applyFill="1" applyBorder="1" applyAlignment="1" applyProtection="1">
      <alignment horizontal="center" vertical="center" wrapText="1"/>
      <protection locked="0"/>
    </xf>
    <xf numFmtId="3" fontId="54" fillId="60" borderId="20" xfId="168" applyNumberFormat="1" applyFont="1" applyFill="1" applyBorder="1" applyAlignment="1" applyProtection="1">
      <alignment horizontal="center" vertical="center" wrapText="1"/>
      <protection locked="0"/>
    </xf>
    <xf numFmtId="3" fontId="72" fillId="60" borderId="40" xfId="168" applyNumberFormat="1" applyFont="1" applyFill="1" applyBorder="1" applyAlignment="1" applyProtection="1">
      <alignment horizontal="center" vertical="center" wrapText="1"/>
      <protection locked="0"/>
    </xf>
    <xf numFmtId="3" fontId="72" fillId="0" borderId="17" xfId="168" applyNumberFormat="1" applyFont="1" applyFill="1" applyBorder="1" applyAlignment="1" applyProtection="1">
      <alignment horizontal="center" vertical="center" wrapText="1"/>
    </xf>
    <xf numFmtId="3" fontId="72" fillId="62" borderId="17" xfId="168" applyNumberFormat="1" applyFont="1" applyFill="1" applyBorder="1" applyAlignment="1" applyProtection="1">
      <alignment horizontal="center" vertical="center" wrapText="1"/>
    </xf>
    <xf numFmtId="0" fontId="51" fillId="0" borderId="0" xfId="0" applyFont="1" applyProtection="1">
      <protection hidden="1"/>
    </xf>
    <xf numFmtId="0" fontId="51" fillId="0" borderId="0" xfId="0" applyFont="1" applyFill="1" applyBorder="1" applyProtection="1">
      <protection hidden="1"/>
    </xf>
    <xf numFmtId="0" fontId="88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53" fillId="57" borderId="38" xfId="0" applyFont="1" applyFill="1" applyBorder="1" applyAlignment="1" applyProtection="1">
      <alignment horizontal="center" vertical="center" wrapText="1"/>
      <protection hidden="1"/>
    </xf>
    <xf numFmtId="0" fontId="53" fillId="57" borderId="17" xfId="0" applyFont="1" applyFill="1" applyBorder="1" applyAlignment="1" applyProtection="1">
      <alignment horizontal="center" vertical="center" wrapText="1"/>
      <protection hidden="1"/>
    </xf>
    <xf numFmtId="3" fontId="69" fillId="57" borderId="17" xfId="0" applyNumberFormat="1" applyFont="1" applyFill="1" applyBorder="1" applyAlignment="1" applyProtection="1">
      <alignment horizontal="center" vertical="center" wrapText="1"/>
      <protection hidden="1"/>
    </xf>
    <xf numFmtId="3" fontId="72" fillId="64" borderId="20" xfId="168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Protection="1"/>
    <xf numFmtId="0" fontId="68" fillId="0" borderId="0" xfId="0" applyFont="1" applyAlignment="1" applyProtection="1">
      <alignment horizontal="center" vertical="center" wrapText="1"/>
    </xf>
    <xf numFmtId="0" fontId="89" fillId="0" borderId="0" xfId="0" applyFont="1" applyProtection="1"/>
    <xf numFmtId="0" fontId="88" fillId="0" borderId="0" xfId="0" applyFont="1" applyBorder="1" applyProtection="1"/>
    <xf numFmtId="3" fontId="80" fillId="61" borderId="36" xfId="1553" applyNumberFormat="1" applyFont="1" applyFill="1" applyBorder="1" applyAlignment="1">
      <alignment horizontal="center" vertical="center"/>
    </xf>
    <xf numFmtId="0" fontId="90" fillId="0" borderId="0" xfId="0" applyFont="1" applyAlignment="1" applyProtection="1">
      <alignment horizontal="center" vertical="center"/>
    </xf>
    <xf numFmtId="0" fontId="91" fillId="0" borderId="0" xfId="0" applyFont="1" applyAlignment="1" applyProtection="1">
      <alignment horizontal="center" vertical="center" wrapText="1"/>
    </xf>
    <xf numFmtId="0" fontId="92" fillId="0" borderId="0" xfId="0" applyFont="1" applyProtection="1"/>
    <xf numFmtId="0" fontId="90" fillId="0" borderId="0" xfId="0" applyFont="1" applyAlignment="1" applyProtection="1">
      <alignment horizontal="center" vertical="center" wrapText="1"/>
    </xf>
    <xf numFmtId="0" fontId="62" fillId="0" borderId="0" xfId="0" applyFont="1"/>
    <xf numFmtId="0" fontId="0" fillId="0" borderId="0" xfId="0" applyAlignment="1">
      <alignment vertical="center" wrapText="1"/>
    </xf>
    <xf numFmtId="3" fontId="72" fillId="60" borderId="17" xfId="168" applyNumberFormat="1" applyFont="1" applyFill="1" applyBorder="1" applyAlignment="1" applyProtection="1">
      <alignment horizontal="center" vertical="center" wrapText="1"/>
      <protection locked="0"/>
    </xf>
    <xf numFmtId="0" fontId="92" fillId="0" borderId="0" xfId="0" applyFont="1"/>
    <xf numFmtId="0" fontId="93" fillId="0" borderId="17" xfId="0" applyFont="1" applyFill="1" applyBorder="1" applyAlignment="1">
      <alignment vertical="center"/>
    </xf>
    <xf numFmtId="3" fontId="94" fillId="65" borderId="21" xfId="0" applyNumberFormat="1" applyFont="1" applyFill="1" applyBorder="1" applyAlignment="1">
      <alignment horizontal="center" vertical="center" wrapText="1"/>
    </xf>
    <xf numFmtId="0" fontId="95" fillId="65" borderId="39" xfId="0" applyFont="1" applyFill="1" applyBorder="1" applyAlignment="1">
      <alignment vertical="center"/>
    </xf>
    <xf numFmtId="0" fontId="57" fillId="65" borderId="43" xfId="0" applyFont="1" applyFill="1" applyBorder="1" applyAlignment="1">
      <alignment vertical="center"/>
    </xf>
    <xf numFmtId="0" fontId="57" fillId="65" borderId="39" xfId="0" applyFont="1" applyFill="1" applyBorder="1" applyAlignment="1">
      <alignment vertical="center"/>
    </xf>
    <xf numFmtId="0" fontId="61" fillId="0" borderId="97" xfId="0" applyFont="1" applyFill="1" applyBorder="1" applyAlignment="1">
      <alignment horizontal="left" vertical="center" wrapText="1" indent="2"/>
    </xf>
    <xf numFmtId="0" fontId="59" fillId="0" borderId="27" xfId="0" applyFont="1" applyBorder="1" applyAlignment="1">
      <alignment vertical="center" wrapText="1"/>
    </xf>
    <xf numFmtId="0" fontId="0" fillId="0" borderId="0" xfId="0"/>
    <xf numFmtId="0" fontId="61" fillId="0" borderId="27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 indent="2"/>
    </xf>
    <xf numFmtId="0" fontId="61" fillId="0" borderId="26" xfId="0" applyFont="1" applyFill="1" applyBorder="1" applyAlignment="1">
      <alignment horizontal="left" vertical="center"/>
    </xf>
    <xf numFmtId="3" fontId="13" fillId="55" borderId="43" xfId="0" applyNumberFormat="1" applyFont="1" applyFill="1" applyBorder="1" applyAlignment="1">
      <alignment horizontal="center" vertical="center"/>
    </xf>
    <xf numFmtId="3" fontId="13" fillId="55" borderId="17" xfId="0" applyNumberFormat="1" applyFont="1" applyFill="1" applyBorder="1" applyAlignment="1">
      <alignment horizontal="center" vertical="center"/>
    </xf>
    <xf numFmtId="16" fontId="2" fillId="66" borderId="17" xfId="1235" applyNumberFormat="1" applyFill="1" applyBorder="1" applyProtection="1">
      <protection locked="0" hidden="1"/>
    </xf>
    <xf numFmtId="0" fontId="96" fillId="0" borderId="17" xfId="0" applyFont="1" applyBorder="1" applyAlignment="1" applyProtection="1">
      <alignment horizontal="center"/>
    </xf>
    <xf numFmtId="0" fontId="52" fillId="0" borderId="17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81" fillId="0" borderId="17" xfId="0" applyFont="1" applyBorder="1" applyAlignment="1" applyProtection="1">
      <alignment horizontal="center" vertical="center"/>
    </xf>
    <xf numFmtId="0" fontId="81" fillId="0" borderId="17" xfId="0" applyFont="1" applyBorder="1" applyAlignment="1" applyProtection="1">
      <alignment horizontal="left" vertical="center" wrapText="1"/>
    </xf>
    <xf numFmtId="0" fontId="0" fillId="0" borderId="0" xfId="0" applyFont="1" applyProtection="1"/>
    <xf numFmtId="0" fontId="96" fillId="0" borderId="17" xfId="0" applyFont="1" applyBorder="1" applyAlignment="1" applyProtection="1">
      <alignment horizontal="center" vertical="center"/>
    </xf>
    <xf numFmtId="0" fontId="96" fillId="0" borderId="17" xfId="0" applyFont="1" applyBorder="1" applyAlignment="1" applyProtection="1">
      <alignment horizontal="center" vertical="center" wrapText="1"/>
    </xf>
    <xf numFmtId="0" fontId="92" fillId="0" borderId="17" xfId="0" applyFont="1" applyBorder="1" applyAlignment="1" applyProtection="1">
      <alignment wrapText="1"/>
    </xf>
    <xf numFmtId="0" fontId="59" fillId="0" borderId="0" xfId="0" applyFont="1" applyAlignment="1" applyProtection="1">
      <alignment vertical="center" wrapText="1"/>
    </xf>
    <xf numFmtId="0" fontId="49" fillId="0" borderId="27" xfId="0" applyFont="1" applyBorder="1" applyAlignment="1">
      <alignment horizontal="left" vertical="center" indent="2"/>
    </xf>
    <xf numFmtId="166" fontId="4" fillId="60" borderId="17" xfId="1235" applyNumberFormat="1" applyFont="1" applyFill="1" applyBorder="1" applyAlignment="1" applyProtection="1">
      <alignment horizontal="left"/>
      <protection locked="0"/>
    </xf>
    <xf numFmtId="0" fontId="64" fillId="0" borderId="45" xfId="0" applyFont="1" applyBorder="1" applyAlignment="1">
      <alignment horizontal="center" vertical="center"/>
    </xf>
    <xf numFmtId="0" fontId="80" fillId="0" borderId="66" xfId="0" applyFont="1" applyFill="1" applyBorder="1" applyAlignment="1">
      <alignment horizontal="center" vertical="center" wrapText="1"/>
    </xf>
    <xf numFmtId="0" fontId="61" fillId="0" borderId="66" xfId="0" applyFont="1" applyFill="1" applyBorder="1" applyAlignment="1">
      <alignment horizontal="left" vertical="center" indent="2"/>
    </xf>
    <xf numFmtId="3" fontId="81" fillId="0" borderId="66" xfId="1553" applyNumberFormat="1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0" fontId="62" fillId="0" borderId="8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3" fontId="10" fillId="53" borderId="36" xfId="492" applyNumberFormat="1" applyFont="1" applyFill="1" applyBorder="1" applyAlignment="1" applyProtection="1">
      <alignment horizontal="center" vertical="center" wrapText="1"/>
      <protection locked="0"/>
    </xf>
    <xf numFmtId="3" fontId="10" fillId="53" borderId="56" xfId="492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81" xfId="0" applyFont="1" applyBorder="1" applyAlignment="1">
      <alignment horizontal="center" vertical="center" wrapText="1"/>
    </xf>
    <xf numFmtId="0" fontId="62" fillId="0" borderId="98" xfId="0" applyFont="1" applyBorder="1" applyAlignment="1">
      <alignment horizontal="center" vertical="center" wrapText="1"/>
    </xf>
    <xf numFmtId="0" fontId="62" fillId="0" borderId="82" xfId="0" applyFont="1" applyBorder="1" applyAlignment="1">
      <alignment horizontal="center" vertical="center" wrapText="1"/>
    </xf>
    <xf numFmtId="0" fontId="83" fillId="0" borderId="80" xfId="1275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99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3" fillId="56" borderId="100" xfId="0" applyFont="1" applyFill="1" applyBorder="1" applyAlignment="1">
      <alignment horizontal="left" vertical="center" wrapText="1"/>
    </xf>
    <xf numFmtId="0" fontId="53" fillId="56" borderId="101" xfId="0" applyFont="1" applyFill="1" applyBorder="1" applyAlignment="1">
      <alignment horizontal="left" vertical="center" wrapText="1"/>
    </xf>
    <xf numFmtId="3" fontId="69" fillId="56" borderId="78" xfId="1553" applyNumberFormat="1" applyFont="1" applyFill="1" applyBorder="1" applyAlignment="1" applyProtection="1">
      <alignment horizontal="center" vertical="center"/>
      <protection hidden="1"/>
    </xf>
    <xf numFmtId="3" fontId="69" fillId="56" borderId="70" xfId="1553" applyNumberFormat="1" applyFont="1" applyFill="1" applyBorder="1" applyAlignment="1" applyProtection="1">
      <alignment horizontal="center" vertical="center"/>
      <protection hidden="1"/>
    </xf>
    <xf numFmtId="3" fontId="9" fillId="59" borderId="38" xfId="491" applyNumberFormat="1" applyFont="1" applyFill="1" applyBorder="1" applyAlignment="1" applyProtection="1">
      <alignment horizontal="center" vertical="center" wrapText="1"/>
    </xf>
    <xf numFmtId="3" fontId="9" fillId="59" borderId="40" xfId="491" applyNumberFormat="1" applyFont="1" applyFill="1" applyBorder="1" applyAlignment="1" applyProtection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/>
    </xf>
    <xf numFmtId="0" fontId="68" fillId="55" borderId="19" xfId="0" applyFont="1" applyFill="1" applyBorder="1" applyAlignment="1" applyProtection="1">
      <alignment horizontal="center" vertical="center"/>
    </xf>
    <xf numFmtId="0" fontId="68" fillId="55" borderId="0" xfId="0" applyFont="1" applyFill="1" applyBorder="1" applyAlignment="1" applyProtection="1">
      <alignment horizontal="center" vertical="center"/>
    </xf>
    <xf numFmtId="0" fontId="68" fillId="55" borderId="34" xfId="0" applyFont="1" applyFill="1" applyBorder="1" applyAlignment="1" applyProtection="1">
      <alignment horizontal="center" vertical="center"/>
    </xf>
    <xf numFmtId="0" fontId="68" fillId="55" borderId="16" xfId="0" applyFont="1" applyFill="1" applyBorder="1" applyAlignment="1" applyProtection="1">
      <alignment horizontal="center" vertical="center"/>
    </xf>
  </cellXfs>
  <cellStyles count="1562">
    <cellStyle name="20% - Colore 1 2" xfId="1"/>
    <cellStyle name="20% - Colore 1 2 2" xfId="2"/>
    <cellStyle name="20% - Colore 1 2 3" xfId="3"/>
    <cellStyle name="20% - Colore 1 3" xfId="4"/>
    <cellStyle name="20% - Colore 2 2" xfId="5"/>
    <cellStyle name="20% - Colore 2 2 2" xfId="6"/>
    <cellStyle name="20% - Colore 2 2 3" xfId="7"/>
    <cellStyle name="20% - Colore 2 3" xfId="8"/>
    <cellStyle name="20% - Colore 3 2" xfId="9"/>
    <cellStyle name="20% - Colore 3 2 2" xfId="10"/>
    <cellStyle name="20% - Colore 3 2 3" xfId="11"/>
    <cellStyle name="20% - Colore 3 3" xfId="12"/>
    <cellStyle name="20% - Colore 4 2" xfId="13"/>
    <cellStyle name="20% - Colore 4 2 2" xfId="14"/>
    <cellStyle name="20% - Colore 4 2 3" xfId="15"/>
    <cellStyle name="20% - Colore 4 3" xfId="16"/>
    <cellStyle name="20% - Colore 5 2" xfId="17"/>
    <cellStyle name="20% - Colore 5 2 2" xfId="18"/>
    <cellStyle name="20% - Colore 6 2" xfId="19"/>
    <cellStyle name="20% - Colore 6 2 2" xfId="20"/>
    <cellStyle name="40% - Colore 1 2" xfId="21"/>
    <cellStyle name="40% - Colore 1 2 2" xfId="22"/>
    <cellStyle name="40% - Colore 1 2 3" xfId="23"/>
    <cellStyle name="40% - Colore 2 2" xfId="24"/>
    <cellStyle name="40% - Colore 2 2 2" xfId="25"/>
    <cellStyle name="40% - Colore 3 2" xfId="26"/>
    <cellStyle name="40% - Colore 3 2 2" xfId="27"/>
    <cellStyle name="40% - Colore 3 2 3" xfId="28"/>
    <cellStyle name="40% - Colore 3 3" xfId="29"/>
    <cellStyle name="40% - Colore 4 2" xfId="30"/>
    <cellStyle name="40% - Colore 4 2 2" xfId="31"/>
    <cellStyle name="40% - Colore 4 2 3" xfId="32"/>
    <cellStyle name="40% - Colore 5 2" xfId="33"/>
    <cellStyle name="40% - Colore 5 2 2" xfId="34"/>
    <cellStyle name="40% - Colore 6 2" xfId="35"/>
    <cellStyle name="40% - Colore 6 2 2" xfId="36"/>
    <cellStyle name="40% - Colore 6 2 3" xfId="37"/>
    <cellStyle name="60% - Colore 1 2" xfId="38"/>
    <cellStyle name="60% - Colore 1 2 2" xfId="39"/>
    <cellStyle name="60% - Colore 2 2" xfId="40"/>
    <cellStyle name="60% - Colore 3 2" xfId="41"/>
    <cellStyle name="60% - Colore 3 2 2" xfId="42"/>
    <cellStyle name="60% - Colore 3 3" xfId="43"/>
    <cellStyle name="60% - Colore 4 2" xfId="44"/>
    <cellStyle name="60% - Colore 4 2 2" xfId="45"/>
    <cellStyle name="60% - Colore 4 3" xfId="46"/>
    <cellStyle name="60% - Colore 5 2" xfId="47"/>
    <cellStyle name="60% - Colore 6 2" xfId="48"/>
    <cellStyle name="60% - Colore 6 2 2" xfId="49"/>
    <cellStyle name="60% - Colore 6 3" xfId="50"/>
    <cellStyle name="Calcolo 2" xfId="51"/>
    <cellStyle name="Calcolo 2 2" xfId="52"/>
    <cellStyle name="Cella collegata 2" xfId="53"/>
    <cellStyle name="Cella da controllare 2" xfId="54"/>
    <cellStyle name="Colore 1 2" xfId="55"/>
    <cellStyle name="Colore 1 2 2" xfId="56"/>
    <cellStyle name="Colore 2 2" xfId="57"/>
    <cellStyle name="Colore 2 3" xfId="58"/>
    <cellStyle name="Colore 2 4" xfId="59"/>
    <cellStyle name="Colore 3 2" xfId="60"/>
    <cellStyle name="Colore 4 2" xfId="61"/>
    <cellStyle name="Colore 4 2 2" xfId="62"/>
    <cellStyle name="Colore 5 2" xfId="63"/>
    <cellStyle name="Colore 6 2" xfId="64"/>
    <cellStyle name="Comma 2" xfId="65"/>
    <cellStyle name="Comma 2 2" xfId="66"/>
    <cellStyle name="Comma 2 2 2" xfId="67"/>
    <cellStyle name="Comma 2 2 2 2" xfId="68"/>
    <cellStyle name="Comma 2 2 2 2 2" xfId="69"/>
    <cellStyle name="Comma 2 2 2 3" xfId="70"/>
    <cellStyle name="Comma 2 2 2 4" xfId="71"/>
    <cellStyle name="Comma 2 2 3" xfId="72"/>
    <cellStyle name="Comma 2 2 4" xfId="73"/>
    <cellStyle name="Comma 2 2 4 2" xfId="74"/>
    <cellStyle name="Comma 2 2 5" xfId="75"/>
    <cellStyle name="Comma 2 2 6" xfId="76"/>
    <cellStyle name="Comma 2 3" xfId="77"/>
    <cellStyle name="Comma 2 3 2" xfId="78"/>
    <cellStyle name="Comma 2 3 2 2" xfId="79"/>
    <cellStyle name="Comma 2 3 2 2 2" xfId="80"/>
    <cellStyle name="Comma 2 3 2 3" xfId="81"/>
    <cellStyle name="Comma 2 3 3" xfId="82"/>
    <cellStyle name="Comma 2 3 3 2" xfId="83"/>
    <cellStyle name="Comma 2 3 4" xfId="84"/>
    <cellStyle name="Comma 2 4" xfId="85"/>
    <cellStyle name="Comma 2 4 2" xfId="86"/>
    <cellStyle name="Comma 2 4 2 2" xfId="87"/>
    <cellStyle name="Comma 2 4 3" xfId="88"/>
    <cellStyle name="Comma 2 4 3 2" xfId="89"/>
    <cellStyle name="Comma 2 4 4" xfId="90"/>
    <cellStyle name="Comma 2 4 5" xfId="91"/>
    <cellStyle name="Comma 2 5" xfId="92"/>
    <cellStyle name="Comma 2 6" xfId="93"/>
    <cellStyle name="Comma 2 6 2" xfId="94"/>
    <cellStyle name="Comma 2 7" xfId="95"/>
    <cellStyle name="Comma 2 7 2" xfId="96"/>
    <cellStyle name="Comma 2 8" xfId="97"/>
    <cellStyle name="Euro" xfId="98"/>
    <cellStyle name="Euro 10" xfId="99"/>
    <cellStyle name="Euro 2" xfId="100"/>
    <cellStyle name="Euro 2 2" xfId="101"/>
    <cellStyle name="Euro 2 2 2" xfId="102"/>
    <cellStyle name="Euro 2 2 2 2" xfId="103"/>
    <cellStyle name="Euro 2 2 3" xfId="104"/>
    <cellStyle name="Euro 2 2 4" xfId="105"/>
    <cellStyle name="Euro 2 3" xfId="106"/>
    <cellStyle name="Euro 2 4" xfId="107"/>
    <cellStyle name="Euro 2 4 2" xfId="108"/>
    <cellStyle name="Euro 2 5" xfId="109"/>
    <cellStyle name="Euro 2 6" xfId="110"/>
    <cellStyle name="Euro 2 7" xfId="111"/>
    <cellStyle name="Euro 2_Beni e servizi" xfId="112"/>
    <cellStyle name="Euro 3" xfId="113"/>
    <cellStyle name="Euro 3 2" xfId="114"/>
    <cellStyle name="Euro 3 2 2" xfId="115"/>
    <cellStyle name="Euro 3 2 3" xfId="116"/>
    <cellStyle name="Euro 3 2 3 2" xfId="117"/>
    <cellStyle name="Euro 3 3" xfId="118"/>
    <cellStyle name="Euro 3 3 2" xfId="119"/>
    <cellStyle name="Euro 3 3 2 2" xfId="120"/>
    <cellStyle name="Euro 3 3 3" xfId="121"/>
    <cellStyle name="Euro 3 4" xfId="122"/>
    <cellStyle name="Euro 3 5" xfId="123"/>
    <cellStyle name="Euro 3 5 2" xfId="124"/>
    <cellStyle name="Euro 3 6" xfId="125"/>
    <cellStyle name="Euro 3 6 2" xfId="126"/>
    <cellStyle name="Euro 3 7" xfId="127"/>
    <cellStyle name="Euro 3 8" xfId="128"/>
    <cellStyle name="Euro 4" xfId="129"/>
    <cellStyle name="Euro 4 2" xfId="130"/>
    <cellStyle name="Euro 4 3" xfId="131"/>
    <cellStyle name="Euro 4 3 2" xfId="132"/>
    <cellStyle name="Euro 4 4" xfId="133"/>
    <cellStyle name="Euro 4 5" xfId="134"/>
    <cellStyle name="Euro 5" xfId="135"/>
    <cellStyle name="Euro 5 2" xfId="136"/>
    <cellStyle name="Euro 5 2 2" xfId="137"/>
    <cellStyle name="Euro 5 2 2 2" xfId="138"/>
    <cellStyle name="Euro 5 2 3" xfId="139"/>
    <cellStyle name="Euro 5 2 3 2" xfId="140"/>
    <cellStyle name="Euro 5 3" xfId="141"/>
    <cellStyle name="Euro 5 3 2" xfId="142"/>
    <cellStyle name="Euro 5 4" xfId="143"/>
    <cellStyle name="Euro 5 4 2" xfId="144"/>
    <cellStyle name="Euro 5 5" xfId="145"/>
    <cellStyle name="Euro 5 6" xfId="146"/>
    <cellStyle name="Euro 6" xfId="147"/>
    <cellStyle name="Euro 6 2" xfId="148"/>
    <cellStyle name="Euro 6 2 2" xfId="149"/>
    <cellStyle name="Euro 6 3" xfId="150"/>
    <cellStyle name="Euro 7" xfId="151"/>
    <cellStyle name="Euro 8" xfId="152"/>
    <cellStyle name="Euro 8 2" xfId="153"/>
    <cellStyle name="Euro 9" xfId="154"/>
    <cellStyle name="Euro 9 2" xfId="155"/>
    <cellStyle name="Excel Built-in Normal" xfId="156"/>
    <cellStyle name="Excel Built-in Normal 1" xfId="157"/>
    <cellStyle name="Excel Built-in Normal 2" xfId="158"/>
    <cellStyle name="Excel Built-in Normal 3" xfId="159"/>
    <cellStyle name="Excel Built-in Normal 3 2" xfId="160"/>
    <cellStyle name="Excel Built-in Normal 3 2 2" xfId="161"/>
    <cellStyle name="Excel Built-in Normal 3 3" xfId="162"/>
    <cellStyle name="Excel Built-in Normal 4" xfId="163"/>
    <cellStyle name="Excel Built-in Normal 4 2" xfId="164"/>
    <cellStyle name="Excel Built-in Normal 5" xfId="165"/>
    <cellStyle name="Input 2" xfId="166"/>
    <cellStyle name="Input 2 2" xfId="167"/>
    <cellStyle name="Migliaia" xfId="168" builtinId="3"/>
    <cellStyle name="Migliaia [0] 10" xfId="169"/>
    <cellStyle name="Migliaia [0] 10 2" xfId="170"/>
    <cellStyle name="Migliaia [0] 10 2 2" xfId="171"/>
    <cellStyle name="Migliaia [0] 10 2 2 2" xfId="172"/>
    <cellStyle name="Migliaia [0] 10 2 3" xfId="173"/>
    <cellStyle name="Migliaia [0] 10 3" xfId="174"/>
    <cellStyle name="Migliaia [0] 10 3 2" xfId="175"/>
    <cellStyle name="Migliaia [0] 10 4" xfId="176"/>
    <cellStyle name="Migliaia [0] 11" xfId="177"/>
    <cellStyle name="Migliaia [0] 11 2" xfId="178"/>
    <cellStyle name="Migliaia [0] 11 2 2" xfId="179"/>
    <cellStyle name="Migliaia [0] 11 3" xfId="180"/>
    <cellStyle name="Migliaia [0] 12" xfId="181"/>
    <cellStyle name="Migliaia [0] 12 2" xfId="182"/>
    <cellStyle name="Migliaia [0] 13" xfId="183"/>
    <cellStyle name="Migliaia [0] 13 2" xfId="184"/>
    <cellStyle name="Migliaia [0] 14" xfId="185"/>
    <cellStyle name="Migliaia [0] 14 2" xfId="186"/>
    <cellStyle name="Migliaia [0] 15" xfId="187"/>
    <cellStyle name="Migliaia [0] 15 2" xfId="188"/>
    <cellStyle name="Migliaia [0] 2" xfId="189"/>
    <cellStyle name="Migliaia [0] 2 2" xfId="190"/>
    <cellStyle name="Migliaia [0] 2 2 2" xfId="191"/>
    <cellStyle name="Migliaia [0] 2 2 2 2" xfId="192"/>
    <cellStyle name="Migliaia [0] 2 2 2 2 2" xfId="193"/>
    <cellStyle name="Migliaia [0] 2 2 2 2 2 2" xfId="194"/>
    <cellStyle name="Migliaia [0] 2 2 2 2 3" xfId="195"/>
    <cellStyle name="Migliaia [0] 2 2 2 2 3 2" xfId="196"/>
    <cellStyle name="Migliaia [0] 2 2 2 2 4" xfId="197"/>
    <cellStyle name="Migliaia [0] 2 2 2 2 4 2" xfId="198"/>
    <cellStyle name="Migliaia [0] 2 2 2 2 5" xfId="199"/>
    <cellStyle name="Migliaia [0] 2 2 2 2 6" xfId="200"/>
    <cellStyle name="Migliaia [0] 2 2 2 3" xfId="201"/>
    <cellStyle name="Migliaia [0] 2 2 2 4" xfId="202"/>
    <cellStyle name="Migliaia [0] 2 2 2 4 2" xfId="203"/>
    <cellStyle name="Migliaia [0] 2 2 2 5" xfId="204"/>
    <cellStyle name="Migliaia [0] 2 2 2 5 2" xfId="205"/>
    <cellStyle name="Migliaia [0] 2 2 2 6" xfId="206"/>
    <cellStyle name="Migliaia [0] 2 2 2 7" xfId="207"/>
    <cellStyle name="Migliaia [0] 2 2 3" xfId="208"/>
    <cellStyle name="Migliaia [0] 2 2 3 2" xfId="209"/>
    <cellStyle name="Migliaia [0] 2 2 3 2 2" xfId="210"/>
    <cellStyle name="Migliaia [0] 2 2 3 2 3" xfId="211"/>
    <cellStyle name="Migliaia [0] 2 2 3 2 3 2" xfId="212"/>
    <cellStyle name="Migliaia [0] 2 2 3 3" xfId="213"/>
    <cellStyle name="Migliaia [0] 2 2 3 3 2" xfId="214"/>
    <cellStyle name="Migliaia [0] 2 2 3 3 2 2" xfId="215"/>
    <cellStyle name="Migliaia [0] 2 2 3 3 3" xfId="216"/>
    <cellStyle name="Migliaia [0] 2 2 3 4" xfId="217"/>
    <cellStyle name="Migliaia [0] 2 2 3 5" xfId="218"/>
    <cellStyle name="Migliaia [0] 2 2 3 5 2" xfId="219"/>
    <cellStyle name="Migliaia [0] 2 2 3 6" xfId="220"/>
    <cellStyle name="Migliaia [0] 2 2 3 7" xfId="221"/>
    <cellStyle name="Migliaia [0] 2 2 4" xfId="222"/>
    <cellStyle name="Migliaia [0] 2 2 4 2" xfId="223"/>
    <cellStyle name="Migliaia [0] 2 2 4 2 2" xfId="224"/>
    <cellStyle name="Migliaia [0] 2 2 4 2 3" xfId="225"/>
    <cellStyle name="Migliaia [0] 2 2 4 2 3 2" xfId="226"/>
    <cellStyle name="Migliaia [0] 2 2 5" xfId="227"/>
    <cellStyle name="Migliaia [0] 2 2 5 2" xfId="228"/>
    <cellStyle name="Migliaia [0] 2 2 5 2 2" xfId="229"/>
    <cellStyle name="Migliaia [0] 2 2 5 2 2 2" xfId="230"/>
    <cellStyle name="Migliaia [0] 2 2 5 2 3" xfId="231"/>
    <cellStyle name="Migliaia [0] 2 2 5 3" xfId="232"/>
    <cellStyle name="Migliaia [0] 2 2 5 3 2" xfId="233"/>
    <cellStyle name="Migliaia [0] 2 2 5 4" xfId="234"/>
    <cellStyle name="Migliaia [0] 2 2 5 4 2" xfId="235"/>
    <cellStyle name="Migliaia [0] 2 2 5 5" xfId="236"/>
    <cellStyle name="Migliaia [0] 2 2 6" xfId="237"/>
    <cellStyle name="Migliaia [0] 2 2 6 2" xfId="238"/>
    <cellStyle name="Migliaia [0] 2 2 6 2 2" xfId="239"/>
    <cellStyle name="Migliaia [0] 2 2 6 3" xfId="240"/>
    <cellStyle name="Migliaia [0] 2 2 7" xfId="241"/>
    <cellStyle name="Migliaia [0] 2 2 7 2" xfId="242"/>
    <cellStyle name="Migliaia [0] 2 2_RICLASSIFICATO CET 4 TRIM 2013" xfId="243"/>
    <cellStyle name="Migliaia [0] 2 3" xfId="244"/>
    <cellStyle name="Migliaia [0] 2 3 2" xfId="245"/>
    <cellStyle name="Migliaia [0] 2 3 2 2" xfId="246"/>
    <cellStyle name="Migliaia [0] 2 3 2 2 2" xfId="247"/>
    <cellStyle name="Migliaia [0] 2 3 2 3" xfId="248"/>
    <cellStyle name="Migliaia [0] 2 3 2 4" xfId="249"/>
    <cellStyle name="Migliaia [0] 2 3 3" xfId="250"/>
    <cellStyle name="Migliaia [0] 2 3 4" xfId="251"/>
    <cellStyle name="Migliaia [0] 2 3 4 2" xfId="252"/>
    <cellStyle name="Migliaia [0] 2 3 5" xfId="253"/>
    <cellStyle name="Migliaia [0] 2 3 6" xfId="254"/>
    <cellStyle name="Migliaia [0] 2 4" xfId="255"/>
    <cellStyle name="Migliaia [0] 2 4 2" xfId="256"/>
    <cellStyle name="Migliaia [0] 2 4 2 2" xfId="257"/>
    <cellStyle name="Migliaia [0] 2 4 2 3" xfId="258"/>
    <cellStyle name="Migliaia [0] 2 4 2 3 2" xfId="259"/>
    <cellStyle name="Migliaia [0] 2 4 3" xfId="260"/>
    <cellStyle name="Migliaia [0] 2 4 3 2" xfId="261"/>
    <cellStyle name="Migliaia [0] 2 4 3 2 2" xfId="262"/>
    <cellStyle name="Migliaia [0] 2 4 3 3" xfId="263"/>
    <cellStyle name="Migliaia [0] 2 4 4" xfId="264"/>
    <cellStyle name="Migliaia [0] 2 4 5" xfId="265"/>
    <cellStyle name="Migliaia [0] 2 4 5 2" xfId="266"/>
    <cellStyle name="Migliaia [0] 2 4 6" xfId="267"/>
    <cellStyle name="Migliaia [0] 2 4 7" xfId="268"/>
    <cellStyle name="Migliaia [0] 2 5" xfId="269"/>
    <cellStyle name="Migliaia [0] 2 5 2" xfId="270"/>
    <cellStyle name="Migliaia [0] 2 5 3" xfId="271"/>
    <cellStyle name="Migliaia [0] 2 5 3 2" xfId="272"/>
    <cellStyle name="Migliaia [0] 2 5 4" xfId="273"/>
    <cellStyle name="Migliaia [0] 2 5 5" xfId="274"/>
    <cellStyle name="Migliaia [0] 2 6" xfId="275"/>
    <cellStyle name="Migliaia [0] 2 6 2" xfId="276"/>
    <cellStyle name="Migliaia [0] 2 6 2 2" xfId="277"/>
    <cellStyle name="Migliaia [0] 2 6 2 2 2" xfId="278"/>
    <cellStyle name="Migliaia [0] 2 6 2 3" xfId="279"/>
    <cellStyle name="Migliaia [0] 2 6 3" xfId="280"/>
    <cellStyle name="Migliaia [0] 2 6 3 2" xfId="281"/>
    <cellStyle name="Migliaia [0] 2 6 4" xfId="282"/>
    <cellStyle name="Migliaia [0] 2 7" xfId="283"/>
    <cellStyle name="Migliaia [0] 2 7 2" xfId="284"/>
    <cellStyle name="Migliaia [0] 2 7 2 2" xfId="285"/>
    <cellStyle name="Migliaia [0] 2 7 3" xfId="286"/>
    <cellStyle name="Migliaia [0] 2 8" xfId="287"/>
    <cellStyle name="Migliaia [0] 2 8 2" xfId="288"/>
    <cellStyle name="Migliaia [0] 3" xfId="289"/>
    <cellStyle name="Migliaia [0] 3 2" xfId="290"/>
    <cellStyle name="Migliaia [0] 3 2 2" xfId="291"/>
    <cellStyle name="Migliaia [0] 3 2 2 2" xfId="292"/>
    <cellStyle name="Migliaia [0] 3 2 2 2 2" xfId="293"/>
    <cellStyle name="Migliaia [0] 3 2 2 3" xfId="294"/>
    <cellStyle name="Migliaia [0] 3 2 2 4" xfId="295"/>
    <cellStyle name="Migliaia [0] 3 2 2 5" xfId="296"/>
    <cellStyle name="Migliaia [0] 3 2 3" xfId="297"/>
    <cellStyle name="Migliaia [0] 3 2 3 2" xfId="298"/>
    <cellStyle name="Migliaia [0] 3 2 3 3" xfId="299"/>
    <cellStyle name="Migliaia [0] 3 2 3 3 2" xfId="300"/>
    <cellStyle name="Migliaia [0] 3 2 4" xfId="301"/>
    <cellStyle name="Migliaia [0] 3 2 4 2" xfId="302"/>
    <cellStyle name="Migliaia [0] 3 2 4 2 2" xfId="303"/>
    <cellStyle name="Migliaia [0] 3 2 4 3" xfId="304"/>
    <cellStyle name="Migliaia [0] 3 2 4 4" xfId="305"/>
    <cellStyle name="Migliaia [0] 3 2 5" xfId="306"/>
    <cellStyle name="Migliaia [0] 3 3" xfId="307"/>
    <cellStyle name="Migliaia [0] 3 3 2" xfId="308"/>
    <cellStyle name="Migliaia [0] 3 3 2 2" xfId="309"/>
    <cellStyle name="Migliaia [0] 3 3 2 3" xfId="310"/>
    <cellStyle name="Migliaia [0] 3 3 2 3 2" xfId="311"/>
    <cellStyle name="Migliaia [0] 3 3 3" xfId="312"/>
    <cellStyle name="Migliaia [0] 3 3 3 2" xfId="313"/>
    <cellStyle name="Migliaia [0] 3 3 3 2 2" xfId="314"/>
    <cellStyle name="Migliaia [0] 3 3 3 3" xfId="315"/>
    <cellStyle name="Migliaia [0] 3 3 3 3 2" xfId="316"/>
    <cellStyle name="Migliaia [0] 3 3 3 4" xfId="317"/>
    <cellStyle name="Migliaia [0] 3 3 3 5" xfId="318"/>
    <cellStyle name="Migliaia [0] 3 3 4" xfId="319"/>
    <cellStyle name="Migliaia [0] 3 3 5" xfId="320"/>
    <cellStyle name="Migliaia [0] 3 3 5 2" xfId="321"/>
    <cellStyle name="Migliaia [0] 3 3 6" xfId="322"/>
    <cellStyle name="Migliaia [0] 3 4" xfId="323"/>
    <cellStyle name="Migliaia [0] 3 4 2" xfId="324"/>
    <cellStyle name="Migliaia [0] 3 4 3" xfId="325"/>
    <cellStyle name="Migliaia [0] 3 4 3 2" xfId="326"/>
    <cellStyle name="Migliaia [0] 3 4 4" xfId="327"/>
    <cellStyle name="Migliaia [0] 3 5" xfId="328"/>
    <cellStyle name="Migliaia [0] 3 5 2" xfId="329"/>
    <cellStyle name="Migliaia [0] 3 5 2 2" xfId="330"/>
    <cellStyle name="Migliaia [0] 3 5 3" xfId="331"/>
    <cellStyle name="Migliaia [0] 3 5 3 2" xfId="332"/>
    <cellStyle name="Migliaia [0] 3 5 4" xfId="333"/>
    <cellStyle name="Migliaia [0] 3 5 5" xfId="334"/>
    <cellStyle name="Migliaia [0] 3 6" xfId="335"/>
    <cellStyle name="Migliaia [0] 3 6 2" xfId="336"/>
    <cellStyle name="Migliaia [0] 3 7" xfId="337"/>
    <cellStyle name="Migliaia [0] 4" xfId="338"/>
    <cellStyle name="Migliaia [0] 4 2" xfId="339"/>
    <cellStyle name="Migliaia [0] 4 2 2" xfId="340"/>
    <cellStyle name="Migliaia [0] 4 2 2 2" xfId="341"/>
    <cellStyle name="Migliaia [0] 4 2 2 2 2" xfId="342"/>
    <cellStyle name="Migliaia [0] 4 2 2 3" xfId="343"/>
    <cellStyle name="Migliaia [0] 4 2 2 4" xfId="344"/>
    <cellStyle name="Migliaia [0] 4 2 2 5" xfId="345"/>
    <cellStyle name="Migliaia [0] 4 2 3" xfId="346"/>
    <cellStyle name="Migliaia [0] 4 2 3 2" xfId="347"/>
    <cellStyle name="Migliaia [0] 4 2 3 3" xfId="348"/>
    <cellStyle name="Migliaia [0] 4 2 3 3 2" xfId="349"/>
    <cellStyle name="Migliaia [0] 4 2 4" xfId="350"/>
    <cellStyle name="Migliaia [0] 4 2 4 2" xfId="351"/>
    <cellStyle name="Migliaia [0] 4 2 4 2 2" xfId="352"/>
    <cellStyle name="Migliaia [0] 4 2 4 3" xfId="353"/>
    <cellStyle name="Migliaia [0] 4 2 4 4" xfId="354"/>
    <cellStyle name="Migliaia [0] 4 2 5" xfId="355"/>
    <cellStyle name="Migliaia [0] 4 3" xfId="356"/>
    <cellStyle name="Migliaia [0] 4 3 2" xfId="357"/>
    <cellStyle name="Migliaia [0] 4 3 2 2" xfId="358"/>
    <cellStyle name="Migliaia [0] 4 3 2 3" xfId="359"/>
    <cellStyle name="Migliaia [0] 4 3 2 3 2" xfId="360"/>
    <cellStyle name="Migliaia [0] 4 3 3" xfId="361"/>
    <cellStyle name="Migliaia [0] 4 3 3 2" xfId="362"/>
    <cellStyle name="Migliaia [0] 4 3 3 2 2" xfId="363"/>
    <cellStyle name="Migliaia [0] 4 3 3 3" xfId="364"/>
    <cellStyle name="Migliaia [0] 4 3 3 3 2" xfId="365"/>
    <cellStyle name="Migliaia [0] 4 3 3 4" xfId="366"/>
    <cellStyle name="Migliaia [0] 4 3 3 5" xfId="367"/>
    <cellStyle name="Migliaia [0] 4 3 4" xfId="368"/>
    <cellStyle name="Migliaia [0] 4 3 5" xfId="369"/>
    <cellStyle name="Migliaia [0] 4 3 5 2" xfId="370"/>
    <cellStyle name="Migliaia [0] 4 3 6" xfId="371"/>
    <cellStyle name="Migliaia [0] 4 3 6 2" xfId="372"/>
    <cellStyle name="Migliaia [0] 4 3 7" xfId="373"/>
    <cellStyle name="Migliaia [0] 4 3 8" xfId="374"/>
    <cellStyle name="Migliaia [0] 4 4" xfId="375"/>
    <cellStyle name="Migliaia [0] 4 4 2" xfId="376"/>
    <cellStyle name="Migliaia [0] 4 4 2 2" xfId="377"/>
    <cellStyle name="Migliaia [0] 4 4 2 3" xfId="378"/>
    <cellStyle name="Migliaia [0] 4 4 2 3 2" xfId="379"/>
    <cellStyle name="Migliaia [0] 4 4 3" xfId="380"/>
    <cellStyle name="Migliaia [0] 4 4 3 2" xfId="381"/>
    <cellStyle name="Migliaia [0] 4 4 4" xfId="382"/>
    <cellStyle name="Migliaia [0] 4 5" xfId="383"/>
    <cellStyle name="Migliaia [0] 4 5 2" xfId="384"/>
    <cellStyle name="Migliaia [0] 4 5 2 2" xfId="385"/>
    <cellStyle name="Migliaia [0] 4 5 3" xfId="386"/>
    <cellStyle name="Migliaia [0] 4 5 4" xfId="387"/>
    <cellStyle name="Migliaia [0] 4 5 4 2" xfId="388"/>
    <cellStyle name="Migliaia [0] 4 5 5" xfId="389"/>
    <cellStyle name="Migliaia [0] 4 6" xfId="390"/>
    <cellStyle name="Migliaia [0] 4 6 2" xfId="391"/>
    <cellStyle name="Migliaia [0] 4 6 2 2" xfId="392"/>
    <cellStyle name="Migliaia [0] 4 6 3" xfId="393"/>
    <cellStyle name="Migliaia [0] 5" xfId="394"/>
    <cellStyle name="Migliaia [0] 5 10" xfId="395"/>
    <cellStyle name="Migliaia [0] 5 2" xfId="396"/>
    <cellStyle name="Migliaia [0] 5 2 2" xfId="397"/>
    <cellStyle name="Migliaia [0] 5 2 3" xfId="398"/>
    <cellStyle name="Migliaia [0] 5 2 3 2" xfId="399"/>
    <cellStyle name="Migliaia [0] 5 2 3 2 2" xfId="400"/>
    <cellStyle name="Migliaia [0] 5 2 3 3" xfId="401"/>
    <cellStyle name="Migliaia [0] 5 2 4" xfId="402"/>
    <cellStyle name="Migliaia [0] 5 2 5" xfId="403"/>
    <cellStyle name="Migliaia [0] 5 2 5 2" xfId="404"/>
    <cellStyle name="Migliaia [0] 5 2 6" xfId="405"/>
    <cellStyle name="Migliaia [0] 5 2 6 2" xfId="406"/>
    <cellStyle name="Migliaia [0] 5 2 7" xfId="407"/>
    <cellStyle name="Migliaia [0] 5 2 8" xfId="408"/>
    <cellStyle name="Migliaia [0] 5 3" xfId="409"/>
    <cellStyle name="Migliaia [0] 5 3 2" xfId="410"/>
    <cellStyle name="Migliaia [0] 5 3 2 2" xfId="411"/>
    <cellStyle name="Migliaia [0] 5 3 2 2 2" xfId="412"/>
    <cellStyle name="Migliaia [0] 5 3 2 3" xfId="413"/>
    <cellStyle name="Migliaia [0] 5 3 2 4" xfId="414"/>
    <cellStyle name="Migliaia [0] 5 3 3" xfId="415"/>
    <cellStyle name="Migliaia [0] 5 3 4" xfId="416"/>
    <cellStyle name="Migliaia [0] 5 3 4 2" xfId="417"/>
    <cellStyle name="Migliaia [0] 5 3 5" xfId="418"/>
    <cellStyle name="Migliaia [0] 5 3 5 2" xfId="419"/>
    <cellStyle name="Migliaia [0] 5 3 6" xfId="420"/>
    <cellStyle name="Migliaia [0] 5 3 6 2" xfId="421"/>
    <cellStyle name="Migliaia [0] 5 3 7" xfId="422"/>
    <cellStyle name="Migliaia [0] 5 3 8" xfId="423"/>
    <cellStyle name="Migliaia [0] 5 4" xfId="424"/>
    <cellStyle name="Migliaia [0] 5 4 2" xfId="425"/>
    <cellStyle name="Migliaia [0] 5 4 2 2" xfId="426"/>
    <cellStyle name="Migliaia [0] 5 4 3" xfId="427"/>
    <cellStyle name="Migliaia [0] 5 4 4" xfId="428"/>
    <cellStyle name="Migliaia [0] 5 5" xfId="429"/>
    <cellStyle name="Migliaia [0] 5 6" xfId="430"/>
    <cellStyle name="Migliaia [0] 5 6 2" xfId="431"/>
    <cellStyle name="Migliaia [0] 5 7" xfId="432"/>
    <cellStyle name="Migliaia [0] 5 7 2" xfId="433"/>
    <cellStyle name="Migliaia [0] 5 8" xfId="434"/>
    <cellStyle name="Migliaia [0] 5 8 2" xfId="435"/>
    <cellStyle name="Migliaia [0] 5 9" xfId="436"/>
    <cellStyle name="Migliaia [0] 5 9 2" xfId="437"/>
    <cellStyle name="Migliaia [0] 6" xfId="438"/>
    <cellStyle name="Migliaia [0] 6 2" xfId="439"/>
    <cellStyle name="Migliaia [0] 6 2 2" xfId="440"/>
    <cellStyle name="Migliaia [0] 6 2 2 2" xfId="441"/>
    <cellStyle name="Migliaia [0] 6 2 2 2 2" xfId="442"/>
    <cellStyle name="Migliaia [0] 6 2 2 3" xfId="443"/>
    <cellStyle name="Migliaia [0] 6 2 3" xfId="444"/>
    <cellStyle name="Migliaia [0] 6 2 4" xfId="445"/>
    <cellStyle name="Migliaia [0] 6 2 4 2" xfId="446"/>
    <cellStyle name="Migliaia [0] 6 2 5" xfId="447"/>
    <cellStyle name="Migliaia [0] 6 3" xfId="448"/>
    <cellStyle name="Migliaia [0] 6 3 2" xfId="449"/>
    <cellStyle name="Migliaia [0] 6 3 2 2" xfId="450"/>
    <cellStyle name="Migliaia [0] 6 3 3" xfId="451"/>
    <cellStyle name="Migliaia [0] 6 3 4" xfId="452"/>
    <cellStyle name="Migliaia [0] 6 4" xfId="453"/>
    <cellStyle name="Migliaia [0] 6 5" xfId="454"/>
    <cellStyle name="Migliaia [0] 6 5 2" xfId="455"/>
    <cellStyle name="Migliaia [0] 6 6" xfId="456"/>
    <cellStyle name="Migliaia [0] 6 7" xfId="457"/>
    <cellStyle name="Migliaia [0] 6 8" xfId="458"/>
    <cellStyle name="Migliaia [0] 6 9" xfId="459"/>
    <cellStyle name="Migliaia [0] 7" xfId="460"/>
    <cellStyle name="Migliaia [0] 7 2" xfId="461"/>
    <cellStyle name="Migliaia [0] 7 2 2" xfId="462"/>
    <cellStyle name="Migliaia [0] 7 2 2 2" xfId="463"/>
    <cellStyle name="Migliaia [0] 7 2 3" xfId="464"/>
    <cellStyle name="Migliaia [0] 7 2 4" xfId="465"/>
    <cellStyle name="Migliaia [0] 7 2 4 2" xfId="466"/>
    <cellStyle name="Migliaia [0] 7 2 5" xfId="467"/>
    <cellStyle name="Migliaia [0] 7 3" xfId="468"/>
    <cellStyle name="Migliaia [0] 7 4" xfId="469"/>
    <cellStyle name="Migliaia [0] 7 4 2" xfId="470"/>
    <cellStyle name="Migliaia [0] 7 5" xfId="471"/>
    <cellStyle name="Migliaia [0] 7 6" xfId="472"/>
    <cellStyle name="Migliaia [0] 7 7" xfId="473"/>
    <cellStyle name="Migliaia [0] 8" xfId="474"/>
    <cellStyle name="Migliaia [0] 8 2" xfId="475"/>
    <cellStyle name="Migliaia [0] 8 2 2" xfId="476"/>
    <cellStyle name="Migliaia [0] 8 2 3" xfId="477"/>
    <cellStyle name="Migliaia [0] 8 3" xfId="478"/>
    <cellStyle name="Migliaia [0] 8 3 2" xfId="479"/>
    <cellStyle name="Migliaia [0] 8 3 2 2" xfId="480"/>
    <cellStyle name="Migliaia [0] 8 3 3" xfId="481"/>
    <cellStyle name="Migliaia [0] 8 4" xfId="482"/>
    <cellStyle name="Migliaia [0] 8 4 2" xfId="483"/>
    <cellStyle name="Migliaia [0] 8 5" xfId="484"/>
    <cellStyle name="Migliaia [0] 9" xfId="485"/>
    <cellStyle name="Migliaia [0] 9 2" xfId="486"/>
    <cellStyle name="Migliaia [0] 9 2 2" xfId="487"/>
    <cellStyle name="Migliaia [0] 9 3" xfId="488"/>
    <cellStyle name="Migliaia [0] 9 4" xfId="489"/>
    <cellStyle name="Migliaia 10" xfId="490"/>
    <cellStyle name="Migliaia 10 2" xfId="491"/>
    <cellStyle name="Migliaia 10 2 2" xfId="492"/>
    <cellStyle name="Migliaia 10 2 2 2" xfId="493"/>
    <cellStyle name="Migliaia 10 2 3" xfId="494"/>
    <cellStyle name="Migliaia 10 3" xfId="495"/>
    <cellStyle name="Migliaia 10 3 2" xfId="496"/>
    <cellStyle name="Migliaia 10 4" xfId="497"/>
    <cellStyle name="Migliaia 100" xfId="498"/>
    <cellStyle name="Migliaia 100 2" xfId="499"/>
    <cellStyle name="Migliaia 100 3" xfId="500"/>
    <cellStyle name="Migliaia 101" xfId="501"/>
    <cellStyle name="Migliaia 11" xfId="502"/>
    <cellStyle name="Migliaia 11 2" xfId="503"/>
    <cellStyle name="Migliaia 11 2 2" xfId="504"/>
    <cellStyle name="Migliaia 11 2 2 2" xfId="505"/>
    <cellStyle name="Migliaia 11 2 3" xfId="506"/>
    <cellStyle name="Migliaia 11 3" xfId="507"/>
    <cellStyle name="Migliaia 11 3 2" xfId="508"/>
    <cellStyle name="Migliaia 11 4" xfId="509"/>
    <cellStyle name="Migliaia 12" xfId="510"/>
    <cellStyle name="Migliaia 12 2" xfId="511"/>
    <cellStyle name="Migliaia 12 2 2" xfId="512"/>
    <cellStyle name="Migliaia 12 2 2 2" xfId="513"/>
    <cellStyle name="Migliaia 12 2 3" xfId="514"/>
    <cellStyle name="Migliaia 12 3" xfId="515"/>
    <cellStyle name="Migliaia 12 3 2" xfId="516"/>
    <cellStyle name="Migliaia 12 4" xfId="517"/>
    <cellStyle name="Migliaia 13" xfId="518"/>
    <cellStyle name="Migliaia 13 2" xfId="519"/>
    <cellStyle name="Migliaia 13 2 2" xfId="520"/>
    <cellStyle name="Migliaia 13 2 2 2" xfId="521"/>
    <cellStyle name="Migliaia 13 2 3" xfId="522"/>
    <cellStyle name="Migliaia 13 3" xfId="523"/>
    <cellStyle name="Migliaia 13 3 2" xfId="524"/>
    <cellStyle name="Migliaia 13 4" xfId="525"/>
    <cellStyle name="Migliaia 14" xfId="526"/>
    <cellStyle name="Migliaia 14 2" xfId="527"/>
    <cellStyle name="Migliaia 14 2 2" xfId="528"/>
    <cellStyle name="Migliaia 14 2 2 2" xfId="529"/>
    <cellStyle name="Migliaia 14 2 3" xfId="530"/>
    <cellStyle name="Migliaia 14 2 3 2" xfId="531"/>
    <cellStyle name="Migliaia 14 2 4" xfId="532"/>
    <cellStyle name="Migliaia 14 3" xfId="533"/>
    <cellStyle name="Migliaia 14 4" xfId="534"/>
    <cellStyle name="Migliaia 15" xfId="535"/>
    <cellStyle name="Migliaia 15 2" xfId="536"/>
    <cellStyle name="Migliaia 15 2 2" xfId="537"/>
    <cellStyle name="Migliaia 15 2 2 2" xfId="538"/>
    <cellStyle name="Migliaia 15 3" xfId="539"/>
    <cellStyle name="Migliaia 15 4" xfId="540"/>
    <cellStyle name="Migliaia 16" xfId="541"/>
    <cellStyle name="Migliaia 16 2" xfId="542"/>
    <cellStyle name="Migliaia 16 2 2" xfId="543"/>
    <cellStyle name="Migliaia 16 2 2 2" xfId="544"/>
    <cellStyle name="Migliaia 16 3" xfId="545"/>
    <cellStyle name="Migliaia 16 4" xfId="546"/>
    <cellStyle name="Migliaia 17" xfId="547"/>
    <cellStyle name="Migliaia 17 2" xfId="548"/>
    <cellStyle name="Migliaia 17 2 2" xfId="549"/>
    <cellStyle name="Migliaia 17 2 2 2" xfId="550"/>
    <cellStyle name="Migliaia 17 3" xfId="551"/>
    <cellStyle name="Migliaia 17 4" xfId="552"/>
    <cellStyle name="Migliaia 18" xfId="553"/>
    <cellStyle name="Migliaia 18 2" xfId="554"/>
    <cellStyle name="Migliaia 18 3" xfId="555"/>
    <cellStyle name="Migliaia 18 3 2" xfId="556"/>
    <cellStyle name="Migliaia 18 4" xfId="557"/>
    <cellStyle name="Migliaia 18 5" xfId="558"/>
    <cellStyle name="Migliaia 19" xfId="559"/>
    <cellStyle name="Migliaia 19 2" xfId="560"/>
    <cellStyle name="Migliaia 19 3" xfId="561"/>
    <cellStyle name="Migliaia 19 3 2" xfId="562"/>
    <cellStyle name="Migliaia 19 4" xfId="563"/>
    <cellStyle name="Migliaia 19 5" xfId="564"/>
    <cellStyle name="Migliaia 2" xfId="565"/>
    <cellStyle name="Migliaia 2 10" xfId="566"/>
    <cellStyle name="Migliaia 2 10 2" xfId="567"/>
    <cellStyle name="Migliaia 2 11" xfId="568"/>
    <cellStyle name="Migliaia 2 2" xfId="569"/>
    <cellStyle name="Migliaia 2 2 2" xfId="570"/>
    <cellStyle name="Migliaia 2 2 2 2" xfId="571"/>
    <cellStyle name="Migliaia 2 2 2 2 2" xfId="572"/>
    <cellStyle name="Migliaia 2 2 2 2 2 2" xfId="573"/>
    <cellStyle name="Migliaia 2 2 2 2 3" xfId="574"/>
    <cellStyle name="Migliaia 2 2 2 2 3 2" xfId="575"/>
    <cellStyle name="Migliaia 2 2 2 2 4" xfId="576"/>
    <cellStyle name="Migliaia 2 2 2 3" xfId="577"/>
    <cellStyle name="Migliaia 2 2 2 3 2" xfId="578"/>
    <cellStyle name="Migliaia 2 2 2 4" xfId="579"/>
    <cellStyle name="Migliaia 2 2 2 5" xfId="580"/>
    <cellStyle name="Migliaia 2 2 3" xfId="581"/>
    <cellStyle name="Migliaia 2 2 3 2" xfId="582"/>
    <cellStyle name="Migliaia 2 2 3 2 2" xfId="583"/>
    <cellStyle name="Migliaia 2 2 3 2 2 2" xfId="584"/>
    <cellStyle name="Migliaia 2 2 3 2 3" xfId="585"/>
    <cellStyle name="Migliaia 2 2 3 3" xfId="586"/>
    <cellStyle name="Migliaia 2 2 3 3 2" xfId="587"/>
    <cellStyle name="Migliaia 2 2 3 4" xfId="588"/>
    <cellStyle name="Migliaia 2 2 4" xfId="589"/>
    <cellStyle name="Migliaia 2 2 4 2" xfId="590"/>
    <cellStyle name="Migliaia 2 2 4 2 2" xfId="591"/>
    <cellStyle name="Migliaia 2 2 4 3" xfId="592"/>
    <cellStyle name="Migliaia 2 2 4 3 2" xfId="593"/>
    <cellStyle name="Migliaia 2 2 4 4" xfId="594"/>
    <cellStyle name="Migliaia 2 2 4 4 2" xfId="595"/>
    <cellStyle name="Migliaia 2 2 4 5" xfId="596"/>
    <cellStyle name="Migliaia 2 2 5" xfId="597"/>
    <cellStyle name="Migliaia 2 2 6" xfId="598"/>
    <cellStyle name="Migliaia 2 2 6 2" xfId="599"/>
    <cellStyle name="Migliaia 2 2 7" xfId="600"/>
    <cellStyle name="Migliaia 2 2 7 2" xfId="601"/>
    <cellStyle name="Migliaia 2 2 8" xfId="602"/>
    <cellStyle name="Migliaia 2 2 8 2" xfId="603"/>
    <cellStyle name="Migliaia 2 2 9" xfId="604"/>
    <cellStyle name="Migliaia 2 3" xfId="605"/>
    <cellStyle name="Migliaia 2 3 2" xfId="606"/>
    <cellStyle name="Migliaia 2 3 2 2" xfId="607"/>
    <cellStyle name="Migliaia 2 3 2 2 2" xfId="608"/>
    <cellStyle name="Migliaia 2 3 2 3" xfId="609"/>
    <cellStyle name="Migliaia 2 3 2 3 2" xfId="610"/>
    <cellStyle name="Migliaia 2 3 2 4" xfId="611"/>
    <cellStyle name="Migliaia 2 3 3" xfId="612"/>
    <cellStyle name="Migliaia 2 3 3 2" xfId="613"/>
    <cellStyle name="Migliaia 2 3 3 3" xfId="614"/>
    <cellStyle name="Migliaia 2 3 3 3 2" xfId="615"/>
    <cellStyle name="Migliaia 2 3 4" xfId="616"/>
    <cellStyle name="Migliaia 2 3 4 2" xfId="617"/>
    <cellStyle name="Migliaia 2 3 5" xfId="618"/>
    <cellStyle name="Migliaia 2 3 5 2" xfId="619"/>
    <cellStyle name="Migliaia 2 3 6" xfId="620"/>
    <cellStyle name="Migliaia 2 4" xfId="621"/>
    <cellStyle name="Migliaia 2 4 2" xfId="622"/>
    <cellStyle name="Migliaia 2 4 2 2" xfId="623"/>
    <cellStyle name="Migliaia 2 4 2 2 2" xfId="624"/>
    <cellStyle name="Migliaia 2 4 2 2 2 2" xfId="625"/>
    <cellStyle name="Migliaia 2 4 2 2 3" xfId="626"/>
    <cellStyle name="Migliaia 2 4 2 3" xfId="627"/>
    <cellStyle name="Migliaia 2 4 2 3 2" xfId="628"/>
    <cellStyle name="Migliaia 2 4 2 4" xfId="629"/>
    <cellStyle name="Migliaia 2 4 3" xfId="630"/>
    <cellStyle name="Migliaia 2 4 3 2" xfId="631"/>
    <cellStyle name="Migliaia 2 4 3 2 2" xfId="632"/>
    <cellStyle name="Migliaia 2 4 3 3" xfId="633"/>
    <cellStyle name="Migliaia 2 4 4" xfId="634"/>
    <cellStyle name="Migliaia 2 4 5" xfId="635"/>
    <cellStyle name="Migliaia 2 4 5 2" xfId="636"/>
    <cellStyle name="Migliaia 2 4 6" xfId="637"/>
    <cellStyle name="Migliaia 2 5" xfId="638"/>
    <cellStyle name="Migliaia 2 5 2" xfId="639"/>
    <cellStyle name="Migliaia 2 5 3" xfId="640"/>
    <cellStyle name="Migliaia 2 5 3 2" xfId="641"/>
    <cellStyle name="Migliaia 2 6" xfId="642"/>
    <cellStyle name="Migliaia 2 6 2" xfId="643"/>
    <cellStyle name="Migliaia 2 6 2 2" xfId="644"/>
    <cellStyle name="Migliaia 2 6 2 2 2" xfId="645"/>
    <cellStyle name="Migliaia 2 6 2 3" xfId="646"/>
    <cellStyle name="Migliaia 2 6 3" xfId="647"/>
    <cellStyle name="Migliaia 2 6 3 2" xfId="648"/>
    <cellStyle name="Migliaia 2 6 4" xfId="649"/>
    <cellStyle name="Migliaia 2 7" xfId="650"/>
    <cellStyle name="Migliaia 2 7 2" xfId="651"/>
    <cellStyle name="Migliaia 2 7 2 2" xfId="652"/>
    <cellStyle name="Migliaia 2 7 3" xfId="653"/>
    <cellStyle name="Migliaia 2 8" xfId="654"/>
    <cellStyle name="Migliaia 2 9" xfId="655"/>
    <cellStyle name="Migliaia 2 9 2" xfId="656"/>
    <cellStyle name="Migliaia 20" xfId="657"/>
    <cellStyle name="Migliaia 20 2" xfId="658"/>
    <cellStyle name="Migliaia 20 3" xfId="659"/>
    <cellStyle name="Migliaia 20 3 2" xfId="660"/>
    <cellStyle name="Migliaia 20 4" xfId="661"/>
    <cellStyle name="Migliaia 20 5" xfId="662"/>
    <cellStyle name="Migliaia 21" xfId="663"/>
    <cellStyle name="Migliaia 21 2" xfId="664"/>
    <cellStyle name="Migliaia 21 3" xfId="665"/>
    <cellStyle name="Migliaia 21 3 2" xfId="666"/>
    <cellStyle name="Migliaia 21 4" xfId="667"/>
    <cellStyle name="Migliaia 21 5" xfId="668"/>
    <cellStyle name="Migliaia 22" xfId="669"/>
    <cellStyle name="Migliaia 22 2" xfId="670"/>
    <cellStyle name="Migliaia 22 3" xfId="671"/>
    <cellStyle name="Migliaia 22 3 2" xfId="672"/>
    <cellStyle name="Migliaia 22 4" xfId="673"/>
    <cellStyle name="Migliaia 22 5" xfId="674"/>
    <cellStyle name="Migliaia 23" xfId="675"/>
    <cellStyle name="Migliaia 23 2" xfId="676"/>
    <cellStyle name="Migliaia 23 3" xfId="677"/>
    <cellStyle name="Migliaia 23 3 2" xfId="678"/>
    <cellStyle name="Migliaia 23 4" xfId="679"/>
    <cellStyle name="Migliaia 23 5" xfId="680"/>
    <cellStyle name="Migliaia 24" xfId="681"/>
    <cellStyle name="Migliaia 24 2" xfId="682"/>
    <cellStyle name="Migliaia 24 3" xfId="683"/>
    <cellStyle name="Migliaia 24 3 2" xfId="684"/>
    <cellStyle name="Migliaia 24 4" xfId="685"/>
    <cellStyle name="Migliaia 24 5" xfId="686"/>
    <cellStyle name="Migliaia 25" xfId="687"/>
    <cellStyle name="Migliaia 25 2" xfId="688"/>
    <cellStyle name="Migliaia 25 3" xfId="689"/>
    <cellStyle name="Migliaia 25 3 2" xfId="690"/>
    <cellStyle name="Migliaia 25 4" xfId="691"/>
    <cellStyle name="Migliaia 25 5" xfId="692"/>
    <cellStyle name="Migliaia 26" xfId="693"/>
    <cellStyle name="Migliaia 26 2" xfId="694"/>
    <cellStyle name="Migliaia 26 3" xfId="695"/>
    <cellStyle name="Migliaia 26 3 2" xfId="696"/>
    <cellStyle name="Migliaia 26 4" xfId="697"/>
    <cellStyle name="Migliaia 26 5" xfId="698"/>
    <cellStyle name="Migliaia 27" xfId="699"/>
    <cellStyle name="Migliaia 27 2" xfId="700"/>
    <cellStyle name="Migliaia 27 3" xfId="701"/>
    <cellStyle name="Migliaia 27 3 2" xfId="702"/>
    <cellStyle name="Migliaia 27 4" xfId="703"/>
    <cellStyle name="Migliaia 27 5" xfId="704"/>
    <cellStyle name="Migliaia 28" xfId="705"/>
    <cellStyle name="Migliaia 28 2" xfId="706"/>
    <cellStyle name="Migliaia 28 3" xfId="707"/>
    <cellStyle name="Migliaia 28 3 2" xfId="708"/>
    <cellStyle name="Migliaia 28 4" xfId="709"/>
    <cellStyle name="Migliaia 28 5" xfId="710"/>
    <cellStyle name="Migliaia 29" xfId="711"/>
    <cellStyle name="Migliaia 29 2" xfId="712"/>
    <cellStyle name="Migliaia 29 3" xfId="713"/>
    <cellStyle name="Migliaia 29 3 2" xfId="714"/>
    <cellStyle name="Migliaia 29 4" xfId="715"/>
    <cellStyle name="Migliaia 29 5" xfId="716"/>
    <cellStyle name="Migliaia 3" xfId="717"/>
    <cellStyle name="Migliaia 3 10" xfId="718"/>
    <cellStyle name="Migliaia 3 11" xfId="719"/>
    <cellStyle name="Migliaia 3 2" xfId="720"/>
    <cellStyle name="Migliaia 3 2 2" xfId="721"/>
    <cellStyle name="Migliaia 3 2 2 2" xfId="722"/>
    <cellStyle name="Migliaia 3 2 2 2 2" xfId="723"/>
    <cellStyle name="Migliaia 3 2 2 2 2 2" xfId="724"/>
    <cellStyle name="Migliaia 3 2 2 2 3" xfId="725"/>
    <cellStyle name="Migliaia 3 2 2 2 4" xfId="726"/>
    <cellStyle name="Migliaia 3 2 2 3" xfId="727"/>
    <cellStyle name="Migliaia 3 2 2 4" xfId="728"/>
    <cellStyle name="Migliaia 3 2 2 4 2" xfId="729"/>
    <cellStyle name="Migliaia 3 2 2 5" xfId="730"/>
    <cellStyle name="Migliaia 3 2 2 6" xfId="731"/>
    <cellStyle name="Migliaia 3 2 3" xfId="732"/>
    <cellStyle name="Migliaia 3 2 3 2" xfId="733"/>
    <cellStyle name="Migliaia 3 2 3 3" xfId="734"/>
    <cellStyle name="Migliaia 3 2 3 3 2" xfId="735"/>
    <cellStyle name="Migliaia 3 2 3 3 2 2" xfId="736"/>
    <cellStyle name="Migliaia 3 2 3 3 3" xfId="737"/>
    <cellStyle name="Migliaia 3 2 3 4" xfId="738"/>
    <cellStyle name="Migliaia 3 2 3 5" xfId="739"/>
    <cellStyle name="Migliaia 3 2 3 5 2" xfId="740"/>
    <cellStyle name="Migliaia 3 2 3 6" xfId="741"/>
    <cellStyle name="Migliaia 3 2 4" xfId="742"/>
    <cellStyle name="Migliaia 3 2 4 2" xfId="743"/>
    <cellStyle name="Migliaia 3 2 5" xfId="744"/>
    <cellStyle name="Migliaia 3 2 5 2" xfId="745"/>
    <cellStyle name="Migliaia 3 2 5 2 2" xfId="746"/>
    <cellStyle name="Migliaia 3 2 5 2 2 2" xfId="747"/>
    <cellStyle name="Migliaia 3 2 5 2 3" xfId="748"/>
    <cellStyle name="Migliaia 3 2 5 3" xfId="749"/>
    <cellStyle name="Migliaia 3 2 5 3 2" xfId="750"/>
    <cellStyle name="Migliaia 3 2 5 4" xfId="751"/>
    <cellStyle name="Migliaia 3 2 6" xfId="752"/>
    <cellStyle name="Migliaia 3 2 6 2" xfId="753"/>
    <cellStyle name="Migliaia 3 2 6 2 2" xfId="754"/>
    <cellStyle name="Migliaia 3 2 6 3" xfId="755"/>
    <cellStyle name="Migliaia 3 2 7" xfId="756"/>
    <cellStyle name="Migliaia 3 2 7 2" xfId="757"/>
    <cellStyle name="Migliaia 3 2 8" xfId="758"/>
    <cellStyle name="Migliaia 3 2_RICLASSIFICATO CET 4 TRIM 2013" xfId="759"/>
    <cellStyle name="Migliaia 3 3" xfId="760"/>
    <cellStyle name="Migliaia 3 3 2" xfId="761"/>
    <cellStyle name="Migliaia 3 3 2 2" xfId="762"/>
    <cellStyle name="Migliaia 3 3 2 2 2" xfId="763"/>
    <cellStyle name="Migliaia 3 3 2 3" xfId="764"/>
    <cellStyle name="Migliaia 3 3 2 4" xfId="765"/>
    <cellStyle name="Migliaia 3 3 3" xfId="766"/>
    <cellStyle name="Migliaia 3 3 4" xfId="767"/>
    <cellStyle name="Migliaia 3 3 4 2" xfId="768"/>
    <cellStyle name="Migliaia 3 3 5" xfId="769"/>
    <cellStyle name="Migliaia 3 3 6" xfId="770"/>
    <cellStyle name="Migliaia 3 4" xfId="771"/>
    <cellStyle name="Migliaia 3 4 2" xfId="772"/>
    <cellStyle name="Migliaia 3 4 3" xfId="773"/>
    <cellStyle name="Migliaia 3 4 3 2" xfId="774"/>
    <cellStyle name="Migliaia 3 4 3 2 2" xfId="775"/>
    <cellStyle name="Migliaia 3 4 3 3" xfId="776"/>
    <cellStyle name="Migliaia 3 4 4" xfId="777"/>
    <cellStyle name="Migliaia 3 4 5" xfId="778"/>
    <cellStyle name="Migliaia 3 4 5 2" xfId="779"/>
    <cellStyle name="Migliaia 3 4 6" xfId="780"/>
    <cellStyle name="Migliaia 3 5" xfId="781"/>
    <cellStyle name="Migliaia 3 5 2" xfId="782"/>
    <cellStyle name="Migliaia 3 5 3" xfId="783"/>
    <cellStyle name="Migliaia 3 5 4" xfId="784"/>
    <cellStyle name="Migliaia 3 6" xfId="785"/>
    <cellStyle name="Migliaia 3 6 2" xfId="786"/>
    <cellStyle name="Migliaia 3 6 2 2" xfId="787"/>
    <cellStyle name="Migliaia 3 6 2 2 2" xfId="788"/>
    <cellStyle name="Migliaia 3 6 2 3" xfId="789"/>
    <cellStyle name="Migliaia 3 6 3" xfId="790"/>
    <cellStyle name="Migliaia 3 6 3 2" xfId="791"/>
    <cellStyle name="Migliaia 3 6 4" xfId="792"/>
    <cellStyle name="Migliaia 3 7" xfId="793"/>
    <cellStyle name="Migliaia 3 7 2" xfId="794"/>
    <cellStyle name="Migliaia 3 7 2 2" xfId="795"/>
    <cellStyle name="Migliaia 3 7 3" xfId="796"/>
    <cellStyle name="Migliaia 3 8" xfId="797"/>
    <cellStyle name="Migliaia 3 9" xfId="798"/>
    <cellStyle name="Migliaia 3 9 2" xfId="799"/>
    <cellStyle name="Migliaia 30" xfId="800"/>
    <cellStyle name="Migliaia 30 2" xfId="801"/>
    <cellStyle name="Migliaia 30 3" xfId="802"/>
    <cellStyle name="Migliaia 30 3 2" xfId="803"/>
    <cellStyle name="Migliaia 30 4" xfId="804"/>
    <cellStyle name="Migliaia 30 5" xfId="805"/>
    <cellStyle name="Migliaia 31" xfId="806"/>
    <cellStyle name="Migliaia 31 2" xfId="807"/>
    <cellStyle name="Migliaia 31 3" xfId="808"/>
    <cellStyle name="Migliaia 31 3 2" xfId="809"/>
    <cellStyle name="Migliaia 31 4" xfId="810"/>
    <cellStyle name="Migliaia 31 5" xfId="811"/>
    <cellStyle name="Migliaia 32" xfId="812"/>
    <cellStyle name="Migliaia 32 2" xfId="813"/>
    <cellStyle name="Migliaia 32 3" xfId="814"/>
    <cellStyle name="Migliaia 32 3 2" xfId="815"/>
    <cellStyle name="Migliaia 32 4" xfId="816"/>
    <cellStyle name="Migliaia 32 5" xfId="817"/>
    <cellStyle name="Migliaia 33" xfId="818"/>
    <cellStyle name="Migliaia 33 2" xfId="819"/>
    <cellStyle name="Migliaia 33 3" xfId="820"/>
    <cellStyle name="Migliaia 33 3 2" xfId="821"/>
    <cellStyle name="Migliaia 33 4" xfId="822"/>
    <cellStyle name="Migliaia 33 5" xfId="823"/>
    <cellStyle name="Migliaia 34" xfId="824"/>
    <cellStyle name="Migliaia 34 2" xfId="825"/>
    <cellStyle name="Migliaia 34 3" xfId="826"/>
    <cellStyle name="Migliaia 34 3 2" xfId="827"/>
    <cellStyle name="Migliaia 34 4" xfId="828"/>
    <cellStyle name="Migliaia 34 5" xfId="829"/>
    <cellStyle name="Migliaia 35" xfId="830"/>
    <cellStyle name="Migliaia 35 2" xfId="831"/>
    <cellStyle name="Migliaia 35 3" xfId="832"/>
    <cellStyle name="Migliaia 35 3 2" xfId="833"/>
    <cellStyle name="Migliaia 35 4" xfId="834"/>
    <cellStyle name="Migliaia 35 5" xfId="835"/>
    <cellStyle name="Migliaia 36" xfId="836"/>
    <cellStyle name="Migliaia 36 2" xfId="837"/>
    <cellStyle name="Migliaia 36 3" xfId="838"/>
    <cellStyle name="Migliaia 36 3 2" xfId="839"/>
    <cellStyle name="Migliaia 36 4" xfId="840"/>
    <cellStyle name="Migliaia 36 5" xfId="841"/>
    <cellStyle name="Migliaia 37" xfId="842"/>
    <cellStyle name="Migliaia 37 2" xfId="843"/>
    <cellStyle name="Migliaia 37 3" xfId="844"/>
    <cellStyle name="Migliaia 37 3 2" xfId="845"/>
    <cellStyle name="Migliaia 37 4" xfId="846"/>
    <cellStyle name="Migliaia 37 5" xfId="847"/>
    <cellStyle name="Migliaia 38" xfId="848"/>
    <cellStyle name="Migliaia 38 2" xfId="849"/>
    <cellStyle name="Migliaia 38 3" xfId="850"/>
    <cellStyle name="Migliaia 38 3 2" xfId="851"/>
    <cellStyle name="Migliaia 38 4" xfId="852"/>
    <cellStyle name="Migliaia 38 5" xfId="853"/>
    <cellStyle name="Migliaia 39" xfId="854"/>
    <cellStyle name="Migliaia 39 2" xfId="855"/>
    <cellStyle name="Migliaia 39 3" xfId="856"/>
    <cellStyle name="Migliaia 39 3 2" xfId="857"/>
    <cellStyle name="Migliaia 39 4" xfId="858"/>
    <cellStyle name="Migliaia 39 5" xfId="859"/>
    <cellStyle name="Migliaia 4" xfId="860"/>
    <cellStyle name="Migliaia 4 2" xfId="861"/>
    <cellStyle name="Migliaia 4 2 2" xfId="862"/>
    <cellStyle name="Migliaia 4 2 2 2" xfId="863"/>
    <cellStyle name="Migliaia 4 2 2 2 2" xfId="864"/>
    <cellStyle name="Migliaia 4 2 2 3" xfId="865"/>
    <cellStyle name="Migliaia 4 2 2 4" xfId="866"/>
    <cellStyle name="Migliaia 4 2 3" xfId="867"/>
    <cellStyle name="Migliaia 4 2 3 2" xfId="868"/>
    <cellStyle name="Migliaia 4 2 3 3" xfId="869"/>
    <cellStyle name="Migliaia 4 2 4" xfId="870"/>
    <cellStyle name="Migliaia 4 2 4 2" xfId="871"/>
    <cellStyle name="Migliaia 4 2 5" xfId="872"/>
    <cellStyle name="Migliaia 4 3" xfId="873"/>
    <cellStyle name="Migliaia 4 3 2" xfId="874"/>
    <cellStyle name="Migliaia 4 3 2 2" xfId="875"/>
    <cellStyle name="Migliaia 4 3 2 3" xfId="876"/>
    <cellStyle name="Migliaia 4 3 2 3 2" xfId="877"/>
    <cellStyle name="Migliaia 4 3 3" xfId="878"/>
    <cellStyle name="Migliaia 4 3 3 2" xfId="879"/>
    <cellStyle name="Migliaia 4 3 3 2 2" xfId="880"/>
    <cellStyle name="Migliaia 4 3 3 3" xfId="881"/>
    <cellStyle name="Migliaia 4 3 4" xfId="882"/>
    <cellStyle name="Migliaia 4 3 5" xfId="883"/>
    <cellStyle name="Migliaia 4 3 5 2" xfId="884"/>
    <cellStyle name="Migliaia 4 3 6" xfId="885"/>
    <cellStyle name="Migliaia 4 3 7" xfId="886"/>
    <cellStyle name="Migliaia 4 4" xfId="887"/>
    <cellStyle name="Migliaia 4 4 2" xfId="888"/>
    <cellStyle name="Migliaia 4 4 3" xfId="889"/>
    <cellStyle name="Migliaia 4 4 3 2" xfId="890"/>
    <cellStyle name="Migliaia 4 4 4" xfId="891"/>
    <cellStyle name="Migliaia 4 5" xfId="892"/>
    <cellStyle name="Migliaia 4 5 2" xfId="893"/>
    <cellStyle name="Migliaia 4 5 2 2" xfId="894"/>
    <cellStyle name="Migliaia 4 5 3" xfId="895"/>
    <cellStyle name="Migliaia 4 5 3 2" xfId="896"/>
    <cellStyle name="Migliaia 4 5 4" xfId="897"/>
    <cellStyle name="Migliaia 4 5 5" xfId="898"/>
    <cellStyle name="Migliaia 4 6" xfId="899"/>
    <cellStyle name="Migliaia 4 6 2" xfId="900"/>
    <cellStyle name="Migliaia 4 7" xfId="901"/>
    <cellStyle name="Migliaia 40" xfId="902"/>
    <cellStyle name="Migliaia 40 2" xfId="903"/>
    <cellStyle name="Migliaia 40 3" xfId="904"/>
    <cellStyle name="Migliaia 40 3 2" xfId="905"/>
    <cellStyle name="Migliaia 40 4" xfId="906"/>
    <cellStyle name="Migliaia 40 5" xfId="907"/>
    <cellStyle name="Migliaia 41" xfId="908"/>
    <cellStyle name="Migliaia 41 2" xfId="909"/>
    <cellStyle name="Migliaia 41 3" xfId="910"/>
    <cellStyle name="Migliaia 41 3 2" xfId="911"/>
    <cellStyle name="Migliaia 41 4" xfId="912"/>
    <cellStyle name="Migliaia 41 5" xfId="913"/>
    <cellStyle name="Migliaia 42" xfId="914"/>
    <cellStyle name="Migliaia 42 2" xfId="915"/>
    <cellStyle name="Migliaia 42 3" xfId="916"/>
    <cellStyle name="Migliaia 42 3 2" xfId="917"/>
    <cellStyle name="Migliaia 42 4" xfId="918"/>
    <cellStyle name="Migliaia 42 5" xfId="919"/>
    <cellStyle name="Migliaia 43" xfId="920"/>
    <cellStyle name="Migliaia 43 2" xfId="921"/>
    <cellStyle name="Migliaia 43 3" xfId="922"/>
    <cellStyle name="Migliaia 43 3 2" xfId="923"/>
    <cellStyle name="Migliaia 43 4" xfId="924"/>
    <cellStyle name="Migliaia 43 5" xfId="925"/>
    <cellStyle name="Migliaia 44" xfId="926"/>
    <cellStyle name="Migliaia 44 2" xfId="927"/>
    <cellStyle name="Migliaia 44 3" xfId="928"/>
    <cellStyle name="Migliaia 44 3 2" xfId="929"/>
    <cellStyle name="Migliaia 44 4" xfId="930"/>
    <cellStyle name="Migliaia 44 5" xfId="931"/>
    <cellStyle name="Migliaia 45" xfId="932"/>
    <cellStyle name="Migliaia 45 2" xfId="933"/>
    <cellStyle name="Migliaia 45 3" xfId="934"/>
    <cellStyle name="Migliaia 45 3 2" xfId="935"/>
    <cellStyle name="Migliaia 45 4" xfId="936"/>
    <cellStyle name="Migliaia 45 5" xfId="937"/>
    <cellStyle name="Migliaia 46" xfId="938"/>
    <cellStyle name="Migliaia 46 2" xfId="939"/>
    <cellStyle name="Migliaia 46 3" xfId="940"/>
    <cellStyle name="Migliaia 46 3 2" xfId="941"/>
    <cellStyle name="Migliaia 46 4" xfId="942"/>
    <cellStyle name="Migliaia 46 5" xfId="943"/>
    <cellStyle name="Migliaia 47" xfId="944"/>
    <cellStyle name="Migliaia 47 2" xfId="945"/>
    <cellStyle name="Migliaia 47 3" xfId="946"/>
    <cellStyle name="Migliaia 47 3 2" xfId="947"/>
    <cellStyle name="Migliaia 47 4" xfId="948"/>
    <cellStyle name="Migliaia 47 5" xfId="949"/>
    <cellStyle name="Migliaia 48" xfId="950"/>
    <cellStyle name="Migliaia 48 2" xfId="951"/>
    <cellStyle name="Migliaia 48 3" xfId="952"/>
    <cellStyle name="Migliaia 48 3 2" xfId="953"/>
    <cellStyle name="Migliaia 48 4" xfId="954"/>
    <cellStyle name="Migliaia 48 5" xfId="955"/>
    <cellStyle name="Migliaia 49" xfId="956"/>
    <cellStyle name="Migliaia 49 2" xfId="957"/>
    <cellStyle name="Migliaia 49 3" xfId="958"/>
    <cellStyle name="Migliaia 49 3 2" xfId="959"/>
    <cellStyle name="Migliaia 49 4" xfId="960"/>
    <cellStyle name="Migliaia 49 5" xfId="961"/>
    <cellStyle name="Migliaia 5" xfId="962"/>
    <cellStyle name="Migliaia 5 10" xfId="963"/>
    <cellStyle name="Migliaia 5 2" xfId="964"/>
    <cellStyle name="Migliaia 5 2 2" xfId="965"/>
    <cellStyle name="Migliaia 5 2 3" xfId="966"/>
    <cellStyle name="Migliaia 5 2 4" xfId="967"/>
    <cellStyle name="Migliaia 5 2 4 2" xfId="968"/>
    <cellStyle name="Migliaia 5 2 5" xfId="969"/>
    <cellStyle name="Migliaia 5 2 6" xfId="970"/>
    <cellStyle name="Migliaia 5 2 6 2" xfId="971"/>
    <cellStyle name="Migliaia 5 3" xfId="972"/>
    <cellStyle name="Migliaia 5 3 2" xfId="973"/>
    <cellStyle name="Migliaia 5 3 3" xfId="974"/>
    <cellStyle name="Migliaia 5 3 3 2" xfId="975"/>
    <cellStyle name="Migliaia 5 4" xfId="976"/>
    <cellStyle name="Migliaia 5 5" xfId="977"/>
    <cellStyle name="Migliaia 5 5 2" xfId="978"/>
    <cellStyle name="Migliaia 5 5 2 2" xfId="979"/>
    <cellStyle name="Migliaia 5 5 3" xfId="980"/>
    <cellStyle name="Migliaia 5 5 4" xfId="981"/>
    <cellStyle name="Migliaia 5 6" xfId="982"/>
    <cellStyle name="Migliaia 5 6 2" xfId="983"/>
    <cellStyle name="Migliaia 5 7" xfId="984"/>
    <cellStyle name="Migliaia 5 7 2" xfId="985"/>
    <cellStyle name="Migliaia 5 8" xfId="986"/>
    <cellStyle name="Migliaia 5 9" xfId="987"/>
    <cellStyle name="Migliaia 50" xfId="988"/>
    <cellStyle name="Migliaia 50 2" xfId="989"/>
    <cellStyle name="Migliaia 50 3" xfId="990"/>
    <cellStyle name="Migliaia 50 3 2" xfId="991"/>
    <cellStyle name="Migliaia 50 4" xfId="992"/>
    <cellStyle name="Migliaia 50 5" xfId="993"/>
    <cellStyle name="Migliaia 51" xfId="994"/>
    <cellStyle name="Migliaia 51 2" xfId="995"/>
    <cellStyle name="Migliaia 51 3" xfId="996"/>
    <cellStyle name="Migliaia 51 3 2" xfId="997"/>
    <cellStyle name="Migliaia 51 4" xfId="998"/>
    <cellStyle name="Migliaia 51 5" xfId="999"/>
    <cellStyle name="Migliaia 52" xfId="1000"/>
    <cellStyle name="Migliaia 52 2" xfId="1001"/>
    <cellStyle name="Migliaia 52 3" xfId="1002"/>
    <cellStyle name="Migliaia 52 3 2" xfId="1003"/>
    <cellStyle name="Migliaia 52 4" xfId="1004"/>
    <cellStyle name="Migliaia 52 5" xfId="1005"/>
    <cellStyle name="Migliaia 53" xfId="1006"/>
    <cellStyle name="Migliaia 53 2" xfId="1007"/>
    <cellStyle name="Migliaia 53 3" xfId="1008"/>
    <cellStyle name="Migliaia 53 3 2" xfId="1009"/>
    <cellStyle name="Migliaia 53 4" xfId="1010"/>
    <cellStyle name="Migliaia 53 5" xfId="1011"/>
    <cellStyle name="Migliaia 54" xfId="1012"/>
    <cellStyle name="Migliaia 54 2" xfId="1013"/>
    <cellStyle name="Migliaia 54 3" xfId="1014"/>
    <cellStyle name="Migliaia 54 3 2" xfId="1015"/>
    <cellStyle name="Migliaia 54 4" xfId="1016"/>
    <cellStyle name="Migliaia 54 5" xfId="1017"/>
    <cellStyle name="Migliaia 55" xfId="1018"/>
    <cellStyle name="Migliaia 55 2" xfId="1019"/>
    <cellStyle name="Migliaia 55 3" xfId="1020"/>
    <cellStyle name="Migliaia 55 3 2" xfId="1021"/>
    <cellStyle name="Migliaia 55 4" xfId="1022"/>
    <cellStyle name="Migliaia 55 5" xfId="1023"/>
    <cellStyle name="Migliaia 56" xfId="1024"/>
    <cellStyle name="Migliaia 56 2" xfId="1025"/>
    <cellStyle name="Migliaia 56 3" xfId="1026"/>
    <cellStyle name="Migliaia 56 3 2" xfId="1027"/>
    <cellStyle name="Migliaia 56 4" xfId="1028"/>
    <cellStyle name="Migliaia 56 5" xfId="1029"/>
    <cellStyle name="Migliaia 57" xfId="1030"/>
    <cellStyle name="Migliaia 57 2" xfId="1031"/>
    <cellStyle name="Migliaia 57 3" xfId="1032"/>
    <cellStyle name="Migliaia 57 3 2" xfId="1033"/>
    <cellStyle name="Migliaia 57 4" xfId="1034"/>
    <cellStyle name="Migliaia 57 5" xfId="1035"/>
    <cellStyle name="Migliaia 58" xfId="1036"/>
    <cellStyle name="Migliaia 58 2" xfId="1037"/>
    <cellStyle name="Migliaia 58 3" xfId="1038"/>
    <cellStyle name="Migliaia 58 3 2" xfId="1039"/>
    <cellStyle name="Migliaia 58 4" xfId="1040"/>
    <cellStyle name="Migliaia 58 5" xfId="1041"/>
    <cellStyle name="Migliaia 59" xfId="1042"/>
    <cellStyle name="Migliaia 59 2" xfId="1043"/>
    <cellStyle name="Migliaia 59 3" xfId="1044"/>
    <cellStyle name="Migliaia 59 3 2" xfId="1045"/>
    <cellStyle name="Migliaia 59 4" xfId="1046"/>
    <cellStyle name="Migliaia 59 5" xfId="1047"/>
    <cellStyle name="Migliaia 6" xfId="1048"/>
    <cellStyle name="Migliaia 6 10" xfId="1049"/>
    <cellStyle name="Migliaia 6 2" xfId="1050"/>
    <cellStyle name="Migliaia 6 2 2" xfId="1051"/>
    <cellStyle name="Migliaia 6 2 3" xfId="1052"/>
    <cellStyle name="Migliaia 6 2 3 2" xfId="1053"/>
    <cellStyle name="Migliaia 6 2 4" xfId="1054"/>
    <cellStyle name="Migliaia 6 2 5" xfId="1055"/>
    <cellStyle name="Migliaia 6 2 5 2" xfId="1056"/>
    <cellStyle name="Migliaia 6 3" xfId="1057"/>
    <cellStyle name="Migliaia 6 4" xfId="1058"/>
    <cellStyle name="Migliaia 6 5" xfId="1059"/>
    <cellStyle name="Migliaia 6 5 2" xfId="1060"/>
    <cellStyle name="Migliaia 6 5 2 2" xfId="1061"/>
    <cellStyle name="Migliaia 6 5 3" xfId="1062"/>
    <cellStyle name="Migliaia 6 5 4" xfId="1063"/>
    <cellStyle name="Migliaia 6 6" xfId="1064"/>
    <cellStyle name="Migliaia 6 6 2" xfId="1065"/>
    <cellStyle name="Migliaia 6 7" xfId="1066"/>
    <cellStyle name="Migliaia 6 8" xfId="1067"/>
    <cellStyle name="Migliaia 6 9" xfId="1068"/>
    <cellStyle name="Migliaia 60" xfId="1069"/>
    <cellStyle name="Migliaia 60 2" xfId="1070"/>
    <cellStyle name="Migliaia 60 3" xfId="1071"/>
    <cellStyle name="Migliaia 60 3 2" xfId="1072"/>
    <cellStyle name="Migliaia 60 4" xfId="1073"/>
    <cellStyle name="Migliaia 60 5" xfId="1074"/>
    <cellStyle name="Migliaia 61" xfId="1075"/>
    <cellStyle name="Migliaia 61 2" xfId="1076"/>
    <cellStyle name="Migliaia 61 3" xfId="1077"/>
    <cellStyle name="Migliaia 61 3 2" xfId="1078"/>
    <cellStyle name="Migliaia 61 4" xfId="1079"/>
    <cellStyle name="Migliaia 61 5" xfId="1080"/>
    <cellStyle name="Migliaia 62" xfId="1081"/>
    <cellStyle name="Migliaia 62 2" xfId="1082"/>
    <cellStyle name="Migliaia 62 3" xfId="1083"/>
    <cellStyle name="Migliaia 62 3 2" xfId="1084"/>
    <cellStyle name="Migliaia 62 4" xfId="1085"/>
    <cellStyle name="Migliaia 62 5" xfId="1086"/>
    <cellStyle name="Migliaia 63" xfId="1087"/>
    <cellStyle name="Migliaia 63 2" xfId="1088"/>
    <cellStyle name="Migliaia 63 3" xfId="1089"/>
    <cellStyle name="Migliaia 63 3 2" xfId="1090"/>
    <cellStyle name="Migliaia 63 4" xfId="1091"/>
    <cellStyle name="Migliaia 63 5" xfId="1092"/>
    <cellStyle name="Migliaia 64" xfId="1093"/>
    <cellStyle name="Migliaia 64 2" xfId="1094"/>
    <cellStyle name="Migliaia 64 3" xfId="1095"/>
    <cellStyle name="Migliaia 64 3 2" xfId="1096"/>
    <cellStyle name="Migliaia 64 4" xfId="1097"/>
    <cellStyle name="Migliaia 64 5" xfId="1098"/>
    <cellStyle name="Migliaia 65" xfId="1099"/>
    <cellStyle name="Migliaia 65 2" xfId="1100"/>
    <cellStyle name="Migliaia 65 3" xfId="1101"/>
    <cellStyle name="Migliaia 65 3 2" xfId="1102"/>
    <cellStyle name="Migliaia 65 4" xfId="1103"/>
    <cellStyle name="Migliaia 65 5" xfId="1104"/>
    <cellStyle name="Migliaia 66" xfId="1105"/>
    <cellStyle name="Migliaia 66 2" xfId="1106"/>
    <cellStyle name="Migliaia 66 3" xfId="1107"/>
    <cellStyle name="Migliaia 66 3 2" xfId="1108"/>
    <cellStyle name="Migliaia 66 4" xfId="1109"/>
    <cellStyle name="Migliaia 66 5" xfId="1110"/>
    <cellStyle name="Migliaia 67" xfId="1111"/>
    <cellStyle name="Migliaia 67 2" xfId="1112"/>
    <cellStyle name="Migliaia 68" xfId="1113"/>
    <cellStyle name="Migliaia 68 2" xfId="1114"/>
    <cellStyle name="Migliaia 68 3" xfId="1115"/>
    <cellStyle name="Migliaia 68 3 2" xfId="1116"/>
    <cellStyle name="Migliaia 68 4" xfId="1117"/>
    <cellStyle name="Migliaia 69" xfId="1118"/>
    <cellStyle name="Migliaia 69 2" xfId="1119"/>
    <cellStyle name="Migliaia 69 3" xfId="1120"/>
    <cellStyle name="Migliaia 69 3 2" xfId="1121"/>
    <cellStyle name="Migliaia 69 4" xfId="1122"/>
    <cellStyle name="Migliaia 7" xfId="1123"/>
    <cellStyle name="Migliaia 7 2" xfId="1124"/>
    <cellStyle name="Migliaia 7 2 2" xfId="1125"/>
    <cellStyle name="Migliaia 7 2 2 2" xfId="1126"/>
    <cellStyle name="Migliaia 7 2 2 2 2" xfId="1127"/>
    <cellStyle name="Migliaia 7 2 2 3" xfId="1128"/>
    <cellStyle name="Migliaia 7 2 2 4" xfId="1129"/>
    <cellStyle name="Migliaia 7 2 3" xfId="1130"/>
    <cellStyle name="Migliaia 7 2 3 2" xfId="1131"/>
    <cellStyle name="Migliaia 7 2 4" xfId="1132"/>
    <cellStyle name="Migliaia 7 2 4 2" xfId="1133"/>
    <cellStyle name="Migliaia 7 2 5" xfId="1134"/>
    <cellStyle name="Migliaia 7 2 5 2" xfId="1135"/>
    <cellStyle name="Migliaia 7 3" xfId="1136"/>
    <cellStyle name="Migliaia 7 3 2" xfId="1137"/>
    <cellStyle name="Migliaia 7 4" xfId="1138"/>
    <cellStyle name="Migliaia 7 5" xfId="1139"/>
    <cellStyle name="Migliaia 7 6" xfId="1140"/>
    <cellStyle name="Migliaia 7 7" xfId="1141"/>
    <cellStyle name="Migliaia 70" xfId="1142"/>
    <cellStyle name="Migliaia 70 2" xfId="1143"/>
    <cellStyle name="Migliaia 70 3" xfId="1144"/>
    <cellStyle name="Migliaia 70 3 2" xfId="1145"/>
    <cellStyle name="Migliaia 70 4" xfId="1146"/>
    <cellStyle name="Migliaia 71" xfId="1147"/>
    <cellStyle name="Migliaia 71 2" xfId="1148"/>
    <cellStyle name="Migliaia 71 3" xfId="1149"/>
    <cellStyle name="Migliaia 71 3 2" xfId="1150"/>
    <cellStyle name="Migliaia 71 4" xfId="1151"/>
    <cellStyle name="Migliaia 72" xfId="1152"/>
    <cellStyle name="Migliaia 72 2" xfId="1153"/>
    <cellStyle name="Migliaia 72 3" xfId="1154"/>
    <cellStyle name="Migliaia 72 3 2" xfId="1155"/>
    <cellStyle name="Migliaia 72 4" xfId="1156"/>
    <cellStyle name="Migliaia 73" xfId="1157"/>
    <cellStyle name="Migliaia 73 2" xfId="1158"/>
    <cellStyle name="Migliaia 73 3" xfId="1159"/>
    <cellStyle name="Migliaia 73 3 2" xfId="1160"/>
    <cellStyle name="Migliaia 73 4" xfId="1161"/>
    <cellStyle name="Migliaia 74" xfId="1162"/>
    <cellStyle name="Migliaia 74 2" xfId="1163"/>
    <cellStyle name="Migliaia 74 3" xfId="1164"/>
    <cellStyle name="Migliaia 74 3 2" xfId="1165"/>
    <cellStyle name="Migliaia 74 4" xfId="1166"/>
    <cellStyle name="Migliaia 75" xfId="1167"/>
    <cellStyle name="Migliaia 75 2" xfId="1168"/>
    <cellStyle name="Migliaia 75 3" xfId="1169"/>
    <cellStyle name="Migliaia 75 3 2" xfId="1170"/>
    <cellStyle name="Migliaia 75 4" xfId="1171"/>
    <cellStyle name="Migliaia 76" xfId="1172"/>
    <cellStyle name="Migliaia 76 2" xfId="1173"/>
    <cellStyle name="Migliaia 76 3" xfId="1174"/>
    <cellStyle name="Migliaia 76 3 2" xfId="1175"/>
    <cellStyle name="Migliaia 76 4" xfId="1176"/>
    <cellStyle name="Migliaia 77" xfId="1177"/>
    <cellStyle name="Migliaia 77 2" xfId="1178"/>
    <cellStyle name="Migliaia 77 3" xfId="1179"/>
    <cellStyle name="Migliaia 77 3 2" xfId="1180"/>
    <cellStyle name="Migliaia 77 4" xfId="1181"/>
    <cellStyle name="Migliaia 78" xfId="1182"/>
    <cellStyle name="Migliaia 78 2" xfId="1183"/>
    <cellStyle name="Migliaia 78 3" xfId="1184"/>
    <cellStyle name="Migliaia 78 3 2" xfId="1185"/>
    <cellStyle name="Migliaia 78 4" xfId="1186"/>
    <cellStyle name="Migliaia 79" xfId="1187"/>
    <cellStyle name="Migliaia 8" xfId="1188"/>
    <cellStyle name="Migliaia 8 2" xfId="1189"/>
    <cellStyle name="Migliaia 8 2 2" xfId="1190"/>
    <cellStyle name="Migliaia 8 2 2 2" xfId="1191"/>
    <cellStyle name="Migliaia 8 2 3" xfId="1192"/>
    <cellStyle name="Migliaia 8 2 3 2" xfId="1193"/>
    <cellStyle name="Migliaia 8 2 4" xfId="1194"/>
    <cellStyle name="Migliaia 8 3" xfId="1195"/>
    <cellStyle name="Migliaia 8 4" xfId="1196"/>
    <cellStyle name="Migliaia 80" xfId="1197"/>
    <cellStyle name="Migliaia 81" xfId="1198"/>
    <cellStyle name="Migliaia 82" xfId="1199"/>
    <cellStyle name="Migliaia 83" xfId="1200"/>
    <cellStyle name="Migliaia 84" xfId="1201"/>
    <cellStyle name="Migliaia 85" xfId="1202"/>
    <cellStyle name="Migliaia 86" xfId="1203"/>
    <cellStyle name="Migliaia 87" xfId="1204"/>
    <cellStyle name="Migliaia 88" xfId="1205"/>
    <cellStyle name="Migliaia 89" xfId="1206"/>
    <cellStyle name="Migliaia 9" xfId="1207"/>
    <cellStyle name="Migliaia 9 2" xfId="1208"/>
    <cellStyle name="Migliaia 9 2 2" xfId="1209"/>
    <cellStyle name="Migliaia 9 2 2 2" xfId="1210"/>
    <cellStyle name="Migliaia 9 2 3" xfId="1211"/>
    <cellStyle name="Migliaia 9 3" xfId="1212"/>
    <cellStyle name="Migliaia 9 3 2" xfId="1213"/>
    <cellStyle name="Migliaia 9 4" xfId="1214"/>
    <cellStyle name="Migliaia 90" xfId="1215"/>
    <cellStyle name="Migliaia 91" xfId="1216"/>
    <cellStyle name="Migliaia 92" xfId="1217"/>
    <cellStyle name="Migliaia 93" xfId="1218"/>
    <cellStyle name="Migliaia 94" xfId="1219"/>
    <cellStyle name="Migliaia 95" xfId="1220"/>
    <cellStyle name="Migliaia 96" xfId="1221"/>
    <cellStyle name="Migliaia 97" xfId="1222"/>
    <cellStyle name="Migliaia 98" xfId="1223"/>
    <cellStyle name="Migliaia 99" xfId="1224"/>
    <cellStyle name="Neutrale 2" xfId="1225"/>
    <cellStyle name="Normal 2" xfId="1226"/>
    <cellStyle name="Normal 2 2" xfId="1227"/>
    <cellStyle name="Normal 3" xfId="1228"/>
    <cellStyle name="Normale" xfId="0" builtinId="0"/>
    <cellStyle name="Normale 10" xfId="1229"/>
    <cellStyle name="Normale 11" xfId="1230"/>
    <cellStyle name="Normale 11 2" xfId="1231"/>
    <cellStyle name="Normale 11 2 2" xfId="1232"/>
    <cellStyle name="Normale 12" xfId="1233"/>
    <cellStyle name="Normale 12 2" xfId="1234"/>
    <cellStyle name="Normale 14" xfId="1235"/>
    <cellStyle name="Normale 2" xfId="1236"/>
    <cellStyle name="Normale 2 2" xfId="1237"/>
    <cellStyle name="Normale 2 2 2" xfId="1238"/>
    <cellStyle name="Normale 2 2 2 2" xfId="1239"/>
    <cellStyle name="Normale 2 2 2 2 2" xfId="1240"/>
    <cellStyle name="Normale 2 2 2 2 2 2" xfId="1241"/>
    <cellStyle name="Normale 2 2 2 2 3" xfId="1242"/>
    <cellStyle name="Normale 2 2 2 2 3 2" xfId="1243"/>
    <cellStyle name="Normale 2 2 2 2 4" xfId="1244"/>
    <cellStyle name="Normale 2 2 2 2 5" xfId="1245"/>
    <cellStyle name="Normale 2 2 2 3" xfId="1246"/>
    <cellStyle name="Normale 2 2 2 3 2" xfId="1247"/>
    <cellStyle name="Normale 2 2 2 4" xfId="1248"/>
    <cellStyle name="Normale 2 2 3" xfId="1249"/>
    <cellStyle name="Normale 2 2 3 2" xfId="1250"/>
    <cellStyle name="Normale 2 2 3 2 2" xfId="1251"/>
    <cellStyle name="Normale 2 2 3 2 2 2" xfId="1252"/>
    <cellStyle name="Normale 2 2 3 2 3" xfId="1253"/>
    <cellStyle name="Normale 2 2 3 2 4" xfId="1254"/>
    <cellStyle name="Normale 2 2 3 3" xfId="1255"/>
    <cellStyle name="Normale 2 2 3 4" xfId="1256"/>
    <cellStyle name="Normale 2 2 3 4 2" xfId="1257"/>
    <cellStyle name="Normale 2 2 3 5" xfId="1258"/>
    <cellStyle name="Normale 2 2 3_Beni e servizi" xfId="1259"/>
    <cellStyle name="Normale 2 2 4" xfId="1260"/>
    <cellStyle name="Normale 2 2 4 2" xfId="1261"/>
    <cellStyle name="Normale 2 2 4 2 2" xfId="1262"/>
    <cellStyle name="Normale 2 2 5" xfId="1263"/>
    <cellStyle name="Normale 2 2 5 2" xfId="1264"/>
    <cellStyle name="Normale 2 2 5 2 2" xfId="1265"/>
    <cellStyle name="Normale 2 2 5 3" xfId="1266"/>
    <cellStyle name="Normale 2 2 6" xfId="1267"/>
    <cellStyle name="Normale 2 2 6 2" xfId="1268"/>
    <cellStyle name="Normale 2 2 6 2 2" xfId="1269"/>
    <cellStyle name="Normale 2 2 6 3" xfId="1270"/>
    <cellStyle name="Normale 2 2 7" xfId="1271"/>
    <cellStyle name="Normale 2 2 7 2" xfId="1272"/>
    <cellStyle name="Normale 2 2 8" xfId="1273"/>
    <cellStyle name="Normale 2 2_118_AO_Bilancio_2011 - 951" xfId="1274"/>
    <cellStyle name="Normale 2 3" xfId="1275"/>
    <cellStyle name="Normale 2_118_AO_Bilancio_2011 - 951" xfId="1276"/>
    <cellStyle name="Normale 3" xfId="1277"/>
    <cellStyle name="Normale 3 2" xfId="1278"/>
    <cellStyle name="Normale 3 2 2" xfId="1279"/>
    <cellStyle name="Normale 3 2_Beni e servizi" xfId="1280"/>
    <cellStyle name="Normale 3 3" xfId="1281"/>
    <cellStyle name="Normale 3 3 2" xfId="1282"/>
    <cellStyle name="Normale 3 4" xfId="1283"/>
    <cellStyle name="Normale 3 5" xfId="1284"/>
    <cellStyle name="Normale 3_118_AO_Bilancio_2011 - 951" xfId="1285"/>
    <cellStyle name="Normale 4" xfId="1286"/>
    <cellStyle name="Normale 4 2" xfId="1287"/>
    <cellStyle name="Normale 4 2 2" xfId="1288"/>
    <cellStyle name="Normale 4 3" xfId="1289"/>
    <cellStyle name="Normale 4_Beni e servizi" xfId="1290"/>
    <cellStyle name="Normale 5" xfId="1291"/>
    <cellStyle name="Normale 5 2" xfId="1292"/>
    <cellStyle name="Normale 5 2 2" xfId="1293"/>
    <cellStyle name="Normale 5 2 3" xfId="1294"/>
    <cellStyle name="Normale 5 2 4" xfId="1295"/>
    <cellStyle name="Normale 5 2 4 2" xfId="1296"/>
    <cellStyle name="Normale 5 2 5" xfId="1297"/>
    <cellStyle name="Normale 5 3" xfId="1298"/>
    <cellStyle name="Normale 5 3 2" xfId="1299"/>
    <cellStyle name="Normale 5 4" xfId="1300"/>
    <cellStyle name="Normale 5 4 2" xfId="1301"/>
    <cellStyle name="Normale 5 5" xfId="1302"/>
    <cellStyle name="Normale 5 6" xfId="1303"/>
    <cellStyle name="Normale 5 7" xfId="1304"/>
    <cellStyle name="Normale 5 8" xfId="1305"/>
    <cellStyle name="Normale 5 9" xfId="1306"/>
    <cellStyle name="Normale 5_Beni e servizi" xfId="1307"/>
    <cellStyle name="Normale 6" xfId="1308"/>
    <cellStyle name="Normale 6 2" xfId="1309"/>
    <cellStyle name="Normale 6 2 2" xfId="1310"/>
    <cellStyle name="Normale 6 2 2 2" xfId="1311"/>
    <cellStyle name="Normale 6 2 3" xfId="1312"/>
    <cellStyle name="Normale 6 3" xfId="1313"/>
    <cellStyle name="Normale 6 4" xfId="1314"/>
    <cellStyle name="Normale 6 4 2" xfId="1315"/>
    <cellStyle name="Normale 6 5" xfId="1316"/>
    <cellStyle name="Normale 6 5 2" xfId="1317"/>
    <cellStyle name="Normale 6 6" xfId="1318"/>
    <cellStyle name="Normale 6 7" xfId="1319"/>
    <cellStyle name="Normale 7" xfId="1320"/>
    <cellStyle name="Normale 7 2" xfId="1321"/>
    <cellStyle name="Normale 7 2 2" xfId="1322"/>
    <cellStyle name="Normale 7 3" xfId="1323"/>
    <cellStyle name="Normale 8" xfId="1324"/>
    <cellStyle name="Normale 8 2" xfId="1325"/>
    <cellStyle name="Normale 8 3" xfId="1326"/>
    <cellStyle name="Normale 8 3 2" xfId="1327"/>
    <cellStyle name="Normale 8 4" xfId="1328"/>
    <cellStyle name="Normale 9" xfId="1329"/>
    <cellStyle name="Nota 2" xfId="1330"/>
    <cellStyle name="Nota 2 2" xfId="1331"/>
    <cellStyle name="Nota 2 2 2" xfId="1332"/>
    <cellStyle name="Nota 2 2 2 2" xfId="1333"/>
    <cellStyle name="Nota 2 2 3" xfId="1334"/>
    <cellStyle name="Nota 2 2 3 2" xfId="1335"/>
    <cellStyle name="Nota 2 2 4" xfId="1336"/>
    <cellStyle name="Nota 2 3" xfId="1337"/>
    <cellStyle name="Output 2" xfId="1338"/>
    <cellStyle name="Output 2 2" xfId="1339"/>
    <cellStyle name="Percentuale 2" xfId="1340"/>
    <cellStyle name="Percentuale 2 10" xfId="1341"/>
    <cellStyle name="Percentuale 2 2" xfId="1342"/>
    <cellStyle name="Percentuale 2 2 2" xfId="1343"/>
    <cellStyle name="Percentuale 2 2 2 2" xfId="1344"/>
    <cellStyle name="Percentuale 2 2 2 2 2" xfId="1345"/>
    <cellStyle name="Percentuale 2 2 2 3" xfId="1346"/>
    <cellStyle name="Percentuale 2 2 2 3 2" xfId="1347"/>
    <cellStyle name="Percentuale 2 2 2 4" xfId="1348"/>
    <cellStyle name="Percentuale 2 2 3" xfId="1349"/>
    <cellStyle name="Percentuale 2 2 3 2" xfId="1350"/>
    <cellStyle name="Percentuale 2 2 3 3" xfId="1351"/>
    <cellStyle name="Percentuale 2 2 3 3 2" xfId="1352"/>
    <cellStyle name="Percentuale 2 2 4" xfId="1353"/>
    <cellStyle name="Percentuale 2 2 4 2" xfId="1354"/>
    <cellStyle name="Percentuale 2 2 4 2 2" xfId="1355"/>
    <cellStyle name="Percentuale 2 2 4 3" xfId="1356"/>
    <cellStyle name="Percentuale 2 2 4 3 2" xfId="1357"/>
    <cellStyle name="Percentuale 2 2 4 4" xfId="1358"/>
    <cellStyle name="Percentuale 2 2 5" xfId="1359"/>
    <cellStyle name="Percentuale 2 2 5 2" xfId="1360"/>
    <cellStyle name="Percentuale 2 2 6" xfId="1361"/>
    <cellStyle name="Percentuale 2 3" xfId="1362"/>
    <cellStyle name="Percentuale 2 3 2" xfId="1363"/>
    <cellStyle name="Percentuale 2 3 2 2" xfId="1364"/>
    <cellStyle name="Percentuale 2 3 2 2 2" xfId="1365"/>
    <cellStyle name="Percentuale 2 3 2 2 2 2" xfId="1366"/>
    <cellStyle name="Percentuale 2 3 2 2 3" xfId="1367"/>
    <cellStyle name="Percentuale 2 3 2 3" xfId="1368"/>
    <cellStyle name="Percentuale 2 3 2 3 2" xfId="1369"/>
    <cellStyle name="Percentuale 2 3 2 4" xfId="1370"/>
    <cellStyle name="Percentuale 2 3 2 4 2" xfId="1371"/>
    <cellStyle name="Percentuale 2 3 2 5" xfId="1372"/>
    <cellStyle name="Percentuale 2 3 2 5 2" xfId="1373"/>
    <cellStyle name="Percentuale 2 3 2 6" xfId="1374"/>
    <cellStyle name="Percentuale 2 3 3" xfId="1375"/>
    <cellStyle name="Percentuale 2 3 3 2" xfId="1376"/>
    <cellStyle name="Percentuale 2 3 3 2 2" xfId="1377"/>
    <cellStyle name="Percentuale 2 3 3 3" xfId="1378"/>
    <cellStyle name="Percentuale 2 3 3 3 2" xfId="1379"/>
    <cellStyle name="Percentuale 2 3 3 4" xfId="1380"/>
    <cellStyle name="Percentuale 2 3 3 4 2" xfId="1381"/>
    <cellStyle name="Percentuale 2 3 3 5" xfId="1382"/>
    <cellStyle name="Percentuale 2 3 4" xfId="1383"/>
    <cellStyle name="Percentuale 2 3 5" xfId="1384"/>
    <cellStyle name="Percentuale 2 3 5 2" xfId="1385"/>
    <cellStyle name="Percentuale 2 3 6" xfId="1386"/>
    <cellStyle name="Percentuale 2 3 6 2" xfId="1387"/>
    <cellStyle name="Percentuale 2 3 7" xfId="1388"/>
    <cellStyle name="Percentuale 2 4" xfId="1389"/>
    <cellStyle name="Percentuale 2 4 2" xfId="1390"/>
    <cellStyle name="Percentuale 2 4 3" xfId="1391"/>
    <cellStyle name="Percentuale 2 4 4" xfId="1392"/>
    <cellStyle name="Percentuale 2 4 5" xfId="1393"/>
    <cellStyle name="Percentuale 2 4 5 2" xfId="1394"/>
    <cellStyle name="Percentuale 2 5" xfId="1395"/>
    <cellStyle name="Percentuale 2 5 2" xfId="1396"/>
    <cellStyle name="Percentuale 2 5 2 2" xfId="1397"/>
    <cellStyle name="Percentuale 2 5 2 2 2" xfId="1398"/>
    <cellStyle name="Percentuale 2 5 2 3" xfId="1399"/>
    <cellStyle name="Percentuale 2 5 3" xfId="1400"/>
    <cellStyle name="Percentuale 2 5 3 2" xfId="1401"/>
    <cellStyle name="Percentuale 2 5 4" xfId="1402"/>
    <cellStyle name="Percentuale 2 5 4 2" xfId="1403"/>
    <cellStyle name="Percentuale 2 5 5" xfId="1404"/>
    <cellStyle name="Percentuale 2 5 5 2" xfId="1405"/>
    <cellStyle name="Percentuale 2 5 6" xfId="1406"/>
    <cellStyle name="Percentuale 2 6" xfId="1407"/>
    <cellStyle name="Percentuale 2 6 2" xfId="1408"/>
    <cellStyle name="Percentuale 2 6 2 2" xfId="1409"/>
    <cellStyle name="Percentuale 2 6 3" xfId="1410"/>
    <cellStyle name="Percentuale 2 7" xfId="1411"/>
    <cellStyle name="Percentuale 2 8" xfId="1412"/>
    <cellStyle name="Percentuale 2 8 2" xfId="1413"/>
    <cellStyle name="Percentuale 2 9" xfId="1414"/>
    <cellStyle name="Percentuale 2 9 2" xfId="1415"/>
    <cellStyle name="Percentuale 3" xfId="1416"/>
    <cellStyle name="Percentuale 3 2" xfId="1417"/>
    <cellStyle name="Percentuale 3 2 2" xfId="1418"/>
    <cellStyle name="Percentuale 3 2 2 2" xfId="1419"/>
    <cellStyle name="Percentuale 3 2 3" xfId="1420"/>
    <cellStyle name="Percentuale 3 3" xfId="1421"/>
    <cellStyle name="Percentuale 3 3 2" xfId="1422"/>
    <cellStyle name="Percentuale 3 3 3" xfId="1423"/>
    <cellStyle name="Percentuale 3 3 3 2" xfId="1424"/>
    <cellStyle name="Percentuale 3 4" xfId="1425"/>
    <cellStyle name="Percentuale 3 4 2" xfId="1426"/>
    <cellStyle name="Percentuale 3 4 2 2" xfId="1427"/>
    <cellStyle name="Percentuale 3 4 3" xfId="1428"/>
    <cellStyle name="Percentuale 3 4 3 2" xfId="1429"/>
    <cellStyle name="Percentuale 3 4 4" xfId="1430"/>
    <cellStyle name="Percentuale 3 5" xfId="1431"/>
    <cellStyle name="Percentuale 3 5 2" xfId="1432"/>
    <cellStyle name="Percentuale 3 6" xfId="1433"/>
    <cellStyle name="Percentuale 4" xfId="1434"/>
    <cellStyle name="Percentuale 4 2" xfId="1435"/>
    <cellStyle name="Percentuale 4 2 2" xfId="1436"/>
    <cellStyle name="Percentuale 4 2 2 2" xfId="1437"/>
    <cellStyle name="Percentuale 4 2 3" xfId="1438"/>
    <cellStyle name="Percentuale 4 2 3 2" xfId="1439"/>
    <cellStyle name="Percentuale 4 2 4" xfId="1440"/>
    <cellStyle name="Percentuale 4 3" xfId="1441"/>
    <cellStyle name="Percentuale 4 3 2" xfId="1442"/>
    <cellStyle name="Percentuale 4 3 2 2" xfId="1443"/>
    <cellStyle name="Percentuale 4 3 3" xfId="1444"/>
    <cellStyle name="Percentuale 4 3 3 2" xfId="1445"/>
    <cellStyle name="Percentuale 4 3 4" xfId="1446"/>
    <cellStyle name="Percentuale 4 4" xfId="1447"/>
    <cellStyle name="Percentuale 4 4 2" xfId="1448"/>
    <cellStyle name="Percentuale 4 5" xfId="1449"/>
    <cellStyle name="Percentuale 5" xfId="1450"/>
    <cellStyle name="Percentuale 5 2" xfId="1451"/>
    <cellStyle name="Percentuale 5 2 2" xfId="1452"/>
    <cellStyle name="Percentuale 5 3" xfId="1453"/>
    <cellStyle name="Risultato 1" xfId="1454"/>
    <cellStyle name="SAS FM Client calculated data cell (data entry table)" xfId="1455"/>
    <cellStyle name="SAS FM Client calculated data cell (data entry table) 2" xfId="1456"/>
    <cellStyle name="SAS FM Client calculated data cell (data entry table) 3" xfId="1457"/>
    <cellStyle name="SAS FM Client calculated data cell (data entry table) 3 2" xfId="1458"/>
    <cellStyle name="SAS FM Client calculated data cell (data entry table) 4" xfId="1459"/>
    <cellStyle name="SAS FM Client calculated data cell (read only table)" xfId="1460"/>
    <cellStyle name="SAS FM Client calculated data cell (read only table) 2" xfId="1461"/>
    <cellStyle name="SAS FM Client calculated data cell (read only table) 3" xfId="1462"/>
    <cellStyle name="SAS FM Client calculated data cell (read only table) 3 2" xfId="1463"/>
    <cellStyle name="SAS FM Client calculated data cell (read only table) 4" xfId="1464"/>
    <cellStyle name="SAS FM Column drillable header" xfId="1465"/>
    <cellStyle name="SAS FM Column drillable header 2" xfId="1466"/>
    <cellStyle name="SAS FM Column header" xfId="1467"/>
    <cellStyle name="SAS FM Column header 2" xfId="1468"/>
    <cellStyle name="SAS FM Drill path" xfId="1469"/>
    <cellStyle name="SAS FM Drill path 2" xfId="1470"/>
    <cellStyle name="SAS FM Invalid data cell" xfId="1471"/>
    <cellStyle name="SAS FM Invalid data cell 2" xfId="1472"/>
    <cellStyle name="SAS FM Invalid data cell 3" xfId="1473"/>
    <cellStyle name="SAS FM Invalid data cell 3 2" xfId="1474"/>
    <cellStyle name="SAS FM Invalid data cell 4" xfId="1475"/>
    <cellStyle name="SAS FM No query data cell" xfId="1476"/>
    <cellStyle name="SAS FM No query data cell 2" xfId="1477"/>
    <cellStyle name="SAS FM No query data cell 3" xfId="1478"/>
    <cellStyle name="SAS FM No query data cell 3 2" xfId="1479"/>
    <cellStyle name="SAS FM No query data cell 4" xfId="1480"/>
    <cellStyle name="SAS FM Protected member data cell" xfId="1481"/>
    <cellStyle name="SAS FM Protected member data cell 2" xfId="1482"/>
    <cellStyle name="SAS FM Protected member data cell 3" xfId="1483"/>
    <cellStyle name="SAS FM Protected member data cell 3 2" xfId="1484"/>
    <cellStyle name="SAS FM Protected member data cell 4" xfId="1485"/>
    <cellStyle name="SAS FM Read-only data cell (data entry table)" xfId="1486"/>
    <cellStyle name="SAS FM Read-only data cell (data entry table) 2" xfId="1487"/>
    <cellStyle name="SAS FM Read-only data cell (data entry table) 3" xfId="1488"/>
    <cellStyle name="SAS FM Read-only data cell (data entry table) 3 2" xfId="1489"/>
    <cellStyle name="SAS FM Read-only data cell (data entry table) 4" xfId="1490"/>
    <cellStyle name="SAS FM Read-only data cell (read-only table)" xfId="1491"/>
    <cellStyle name="SAS FM Read-only data cell (read-only table) 2" xfId="1492"/>
    <cellStyle name="SAS FM Read-only data cell (read-only table) 3" xfId="1493"/>
    <cellStyle name="SAS FM Read-only data cell (read-only table) 3 2" xfId="1494"/>
    <cellStyle name="SAS FM Read-only data cell (read-only table) 4" xfId="1495"/>
    <cellStyle name="SAS FM Row drillable header" xfId="1496"/>
    <cellStyle name="SAS FM Row drillable header 2" xfId="1497"/>
    <cellStyle name="SAS FM Row drillable header 2 2" xfId="1498"/>
    <cellStyle name="SAS FM Row drillable header 2 2 2" xfId="1499"/>
    <cellStyle name="SAS FM Row drillable header 3" xfId="1500"/>
    <cellStyle name="SAS FM Row drillable header 3 2" xfId="1501"/>
    <cellStyle name="SAS FM Row drillable header 3 3" xfId="1502"/>
    <cellStyle name="SAS FM Row drillable header 4" xfId="1503"/>
    <cellStyle name="SAS FM Row drillable header 4 2" xfId="1504"/>
    <cellStyle name="SAS FM Row drillable header 4 3" xfId="1505"/>
    <cellStyle name="SAS FM Row drillable header 4 4" xfId="1506"/>
    <cellStyle name="SAS FM Row drillable header 5" xfId="1507"/>
    <cellStyle name="SAS FM Row drillable header 6" xfId="1508"/>
    <cellStyle name="SAS FM Row header" xfId="1509"/>
    <cellStyle name="SAS FM Row header 2" xfId="1510"/>
    <cellStyle name="SAS FM Row header 2 2" xfId="1511"/>
    <cellStyle name="SAS FM Row header 2 2 2" xfId="1512"/>
    <cellStyle name="SAS FM Row header 3" xfId="1513"/>
    <cellStyle name="SAS FM Row header 4" xfId="1514"/>
    <cellStyle name="SAS FM Row header 4 2" xfId="1515"/>
    <cellStyle name="SAS FM Row header 4 3" xfId="1516"/>
    <cellStyle name="SAS FM Row header 5" xfId="1517"/>
    <cellStyle name="SAS FM Row header 5 2" xfId="1518"/>
    <cellStyle name="SAS FM Row header 5 3" xfId="1519"/>
    <cellStyle name="SAS FM Row header 6" xfId="1520"/>
    <cellStyle name="SAS FM Slicers" xfId="1521"/>
    <cellStyle name="SAS FM Slicers 2" xfId="1522"/>
    <cellStyle name="SAS FM Supplemented member data cell" xfId="1523"/>
    <cellStyle name="SAS FM Supplemented member data cell 2" xfId="1524"/>
    <cellStyle name="SAS FM Supplemented member data cell 3" xfId="1525"/>
    <cellStyle name="SAS FM Supplemented member data cell 3 2" xfId="1526"/>
    <cellStyle name="SAS FM Supplemented member data cell 4" xfId="1527"/>
    <cellStyle name="SAS FM Writeable data cell" xfId="1528"/>
    <cellStyle name="SAS FM Writeable data cell 2" xfId="1529"/>
    <cellStyle name="SAS FM Writeable data cell 3" xfId="1530"/>
    <cellStyle name="SAS FM Writeable data cell 3 2" xfId="1531"/>
    <cellStyle name="SAS FM Writeable data cell 4" xfId="1532"/>
    <cellStyle name="Testo avviso 2" xfId="1533"/>
    <cellStyle name="Testo descrittivo 2" xfId="1534"/>
    <cellStyle name="Testo descrittivo 2 2" xfId="1535"/>
    <cellStyle name="Titolo 1 2" xfId="1536"/>
    <cellStyle name="Titolo 1 2 2" xfId="1537"/>
    <cellStyle name="Titolo 2 2" xfId="1538"/>
    <cellStyle name="Titolo 2 2 2" xfId="1539"/>
    <cellStyle name="Titolo 3 2" xfId="1540"/>
    <cellStyle name="Titolo 3 2 2" xfId="1541"/>
    <cellStyle name="Titolo 4 2" xfId="1542"/>
    <cellStyle name="Titolo 4 2 2" xfId="1543"/>
    <cellStyle name="Titolo 5" xfId="1544"/>
    <cellStyle name="Titolo 5 2" xfId="1545"/>
    <cellStyle name="Titolo 6" xfId="1546"/>
    <cellStyle name="Totale 2" xfId="1547"/>
    <cellStyle name="Totale 2 2" xfId="1548"/>
    <cellStyle name="Valore non valido 2" xfId="1549"/>
    <cellStyle name="Valore tabella pivot" xfId="1550"/>
    <cellStyle name="Valore valido 2" xfId="1551"/>
    <cellStyle name="Valuta [0] 2" xfId="1552"/>
    <cellStyle name="Valuta [0] 2 2" xfId="1553"/>
    <cellStyle name="Valuta [0] 3" xfId="1554"/>
    <cellStyle name="Valuta [0] 3 2" xfId="1555"/>
    <cellStyle name="Valuta 2" xfId="1556"/>
    <cellStyle name="Valuta 3" xfId="1557"/>
    <cellStyle name="Valuta 3 2" xfId="1558"/>
    <cellStyle name="Valuta 3 2 2" xfId="1559"/>
    <cellStyle name="Valuta 3 3" xfId="1560"/>
    <cellStyle name="Valuta 3 4" xfId="1561"/>
  </cellStyles>
  <dxfs count="20">
    <dxf>
      <font>
        <b val="0"/>
        <i val="0"/>
        <color rgb="FF006100"/>
        <name val="Cambria"/>
        <scheme val="none"/>
      </font>
      <fill>
        <patternFill>
          <bgColor rgb="FF99FF99"/>
        </patternFill>
      </fill>
    </dxf>
    <dxf>
      <font>
        <b val="0"/>
        <i val="0"/>
        <color auto="1"/>
        <name val="Cambria"/>
        <scheme val="none"/>
      </font>
      <fill>
        <patternFill>
          <bgColor rgb="FFFF5050"/>
        </patternFill>
      </fill>
    </dxf>
    <dxf>
      <font>
        <b val="0"/>
        <i val="0"/>
        <color auto="1"/>
        <name val="Cambria"/>
        <scheme val="none"/>
      </font>
      <fill>
        <patternFill>
          <bgColor rgb="FFFF5050"/>
        </patternFill>
      </fill>
    </dxf>
    <dxf>
      <font>
        <b val="0"/>
        <i val="0"/>
        <color rgb="FF006100"/>
        <name val="Cambria"/>
        <scheme val="none"/>
      </font>
      <fill>
        <patternFill>
          <bgColor rgb="FFC6EFCE"/>
        </patternFill>
      </fill>
    </dxf>
    <dxf>
      <font>
        <b/>
        <i val="0"/>
        <color auto="1"/>
        <name val="Cambria"/>
        <scheme val="none"/>
      </font>
      <fill>
        <patternFill>
          <bgColor rgb="FFFF5050"/>
        </patternFill>
      </fill>
    </dxf>
    <dxf>
      <font>
        <b val="0"/>
        <i val="0"/>
        <color rgb="FF006100"/>
        <name val="Cambria"/>
        <scheme val="none"/>
      </font>
      <fill>
        <patternFill>
          <bgColor rgb="FFC6EFCE"/>
        </patternFill>
      </fill>
    </dxf>
    <dxf>
      <font>
        <b/>
        <i val="0"/>
        <color auto="1"/>
        <name val="Cambria"/>
        <scheme val="none"/>
      </font>
      <fill>
        <patternFill>
          <bgColor theme="9" tint="0.59996337778862885"/>
        </patternFill>
      </fill>
    </dxf>
    <dxf>
      <font>
        <b val="0"/>
        <i val="0"/>
        <color rgb="FF006100"/>
        <name val="Cambria"/>
        <scheme val="none"/>
      </font>
      <fill>
        <patternFill>
          <bgColor rgb="FFC6EFCE"/>
        </patternFill>
      </fill>
    </dxf>
    <dxf>
      <font>
        <b val="0"/>
        <i val="0"/>
        <color rgb="FF006100"/>
        <name val="Cambria"/>
        <scheme val="none"/>
      </font>
      <fill>
        <patternFill>
          <bgColor rgb="FF99FF99"/>
        </patternFill>
      </fill>
    </dxf>
    <dxf>
      <font>
        <b val="0"/>
        <i val="0"/>
        <color auto="1"/>
        <name val="Cambria"/>
        <scheme val="none"/>
      </font>
      <fill>
        <patternFill>
          <bgColor rgb="FFFF5050"/>
        </patternFill>
      </fill>
    </dxf>
    <dxf>
      <font>
        <b val="0"/>
        <i val="0"/>
        <color auto="1"/>
        <name val="Cambria"/>
        <scheme val="none"/>
      </font>
      <fill>
        <patternFill>
          <bgColor rgb="FFFF5050"/>
        </patternFill>
      </fill>
    </dxf>
    <dxf>
      <font>
        <b val="0"/>
        <i val="0"/>
        <color rgb="FF006100"/>
        <name val="Cambria"/>
        <scheme val="none"/>
      </font>
      <fill>
        <patternFill>
          <bgColor rgb="FFC6EFCE"/>
        </patternFill>
      </fill>
    </dxf>
    <dxf>
      <font>
        <b/>
        <i val="0"/>
        <color auto="1"/>
        <name val="Cambria"/>
        <scheme val="none"/>
      </font>
      <fill>
        <patternFill>
          <bgColor rgb="FFFF5050"/>
        </patternFill>
      </fill>
    </dxf>
    <dxf>
      <font>
        <b val="0"/>
        <i val="0"/>
        <color rgb="FF006100"/>
        <name val="Cambria"/>
        <scheme val="none"/>
      </font>
      <fill>
        <patternFill>
          <bgColor rgb="FFC6EFCE"/>
        </patternFill>
      </fill>
    </dxf>
    <dxf>
      <font>
        <b/>
        <i val="0"/>
        <color auto="1"/>
        <name val="Cambria"/>
        <scheme val="none"/>
      </font>
      <fill>
        <patternFill>
          <bgColor theme="9" tint="0.59996337778862885"/>
        </patternFill>
      </fill>
    </dxf>
    <dxf>
      <font>
        <b val="0"/>
        <i val="0"/>
        <color rgb="FF006100"/>
        <name val="Cambria"/>
        <scheme val="none"/>
      </font>
      <fill>
        <patternFill>
          <bgColor rgb="FFC6EFCE"/>
        </patternFill>
      </fill>
    </dxf>
    <dxf>
      <font>
        <b/>
        <i val="0"/>
        <color auto="1"/>
        <name val="Cambria"/>
        <scheme val="none"/>
      </font>
      <fill>
        <patternFill>
          <bgColor theme="9" tint="0.59996337778862885"/>
        </patternFill>
      </fill>
    </dxf>
    <dxf>
      <font>
        <b val="0"/>
        <i val="0"/>
        <color rgb="FF006100"/>
        <name val="Cambria"/>
        <scheme val="none"/>
      </font>
      <fill>
        <patternFill>
          <bgColor rgb="FFC6EFCE"/>
        </patternFill>
      </fill>
    </dxf>
    <dxf>
      <font>
        <b/>
        <i val="0"/>
        <color auto="1"/>
        <name val="Cambria"/>
        <scheme val="none"/>
      </font>
      <fill>
        <patternFill>
          <bgColor theme="9" tint="0.59996337778862885"/>
        </patternFill>
      </fill>
    </dxf>
    <dxf>
      <font>
        <b val="0"/>
        <i val="0"/>
        <color rgb="FF006100"/>
        <name val="Cambria"/>
        <scheme val="none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0.16.237\e$\Users\mozzanicad\AppData\Local\Temp\wz1a06\Users\BasilicoA\Desktop\MODELLI%20PIANO%20INVESTIMENTI-SINTPREV\ASL.BDG.FINANZIARIO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.FONTI DI FINAN.-NUOVA "/>
      <sheetName val="BDG 2012"/>
      <sheetName val="Tesoreria "/>
      <sheetName val="DETT. CONTRIBUTI.CAP."/>
      <sheetName val="SK1.EROG.PUBBL.SAN.2012"/>
      <sheetName val="SK1.EROG.SAN.2011.E.PREC."/>
      <sheetName val="QUADRATURE"/>
    </sheetNames>
    <sheetDataSet>
      <sheetData sheetId="0"/>
      <sheetData sheetId="1"/>
      <sheetData sheetId="2"/>
      <sheetData sheetId="3"/>
      <sheetData sheetId="4"/>
      <sheetData sheetId="5">
        <row r="8">
          <cell r="AF8" t="str">
            <v>Privato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C2"/>
  <sheetViews>
    <sheetView workbookViewId="0"/>
  </sheetViews>
  <sheetFormatPr defaultRowHeight="12.75" x14ac:dyDescent="0.2"/>
  <cols>
    <col min="1" max="1" width="10.5703125" style="48" bestFit="1" customWidth="1"/>
    <col min="2" max="2" width="12.42578125" style="48" bestFit="1" customWidth="1"/>
    <col min="3" max="16384" width="9.140625" style="48"/>
  </cols>
  <sheetData>
    <row r="1" spans="1:3" x14ac:dyDescent="0.2">
      <c r="A1" s="76" t="s">
        <v>0</v>
      </c>
      <c r="B1" s="48" t="s">
        <v>1</v>
      </c>
      <c r="C1" s="48" t="s">
        <v>2</v>
      </c>
    </row>
    <row r="2" spans="1:3" x14ac:dyDescent="0.2">
      <c r="A2" s="76" t="str">
        <f>UPPER(Info!$B$8)</f>
        <v>V1</v>
      </c>
      <c r="B2" s="76" t="str">
        <f>UPPER(Info!$B$9)</f>
        <v>01_GENNAIO</v>
      </c>
      <c r="C2" s="48" t="str">
        <f>"FLCP"&amp;B2</f>
        <v>FLCP01_GENNAIO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2:AT107"/>
  <sheetViews>
    <sheetView showGridLines="0" tabSelected="1" topLeftCell="B1" zoomScale="60" zoomScaleNormal="60" zoomScaleSheetLayoutView="39" workbookViewId="0">
      <selection activeCell="C23" sqref="C23"/>
    </sheetView>
  </sheetViews>
  <sheetFormatPr defaultRowHeight="15" x14ac:dyDescent="0.25"/>
  <cols>
    <col min="1" max="1" width="15.28515625" style="49" hidden="1" customWidth="1"/>
    <col min="2" max="2" width="152.7109375" style="49" customWidth="1"/>
    <col min="3" max="3" width="36.85546875" style="49" customWidth="1"/>
    <col min="4" max="4" width="35.5703125" style="49" customWidth="1"/>
    <col min="5" max="5" width="36.5703125" style="49" customWidth="1"/>
    <col min="6" max="6" width="37.7109375" style="49" customWidth="1"/>
    <col min="7" max="7" width="34.5703125" style="49" customWidth="1"/>
    <col min="8" max="8" width="35.28515625" style="49" customWidth="1"/>
    <col min="9" max="9" width="36.85546875" style="49" customWidth="1"/>
    <col min="10" max="10" width="48.42578125" style="49" customWidth="1"/>
    <col min="11" max="11" width="15" style="49" bestFit="1" customWidth="1"/>
    <col min="12" max="16384" width="9.140625" style="49"/>
  </cols>
  <sheetData>
    <row r="2" spans="1:46" ht="18.75" x14ac:dyDescent="0.25">
      <c r="B2" s="50" t="s">
        <v>311</v>
      </c>
      <c r="C2" s="51" t="s">
        <v>312</v>
      </c>
    </row>
    <row r="3" spans="1:46" ht="26.25" x14ac:dyDescent="0.25">
      <c r="B3" s="52" t="str">
        <f>Info!$C$2</f>
        <v>ASST SANTI PAOLO E CARLO</v>
      </c>
      <c r="C3" s="52" t="str">
        <f>Info!$B$2</f>
        <v>702</v>
      </c>
    </row>
    <row r="6" spans="1:46" s="53" customFormat="1" ht="48" customHeight="1" x14ac:dyDescent="0.25">
      <c r="B6" s="54" t="s">
        <v>558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8" spans="1:46" ht="36.75" customHeight="1" x14ac:dyDescent="0.25">
      <c r="B8" s="12" t="s">
        <v>559</v>
      </c>
      <c r="C8" s="233" t="str">
        <f>Info!B3-1&amp;" E PRECEDENTI"</f>
        <v>2016 E PRECEDENTI</v>
      </c>
      <c r="D8" s="408"/>
      <c r="E8" s="234" t="s">
        <v>495</v>
      </c>
      <c r="F8" s="69"/>
      <c r="G8" s="69"/>
      <c r="H8" s="69"/>
      <c r="I8" s="69"/>
      <c r="J8" s="69"/>
    </row>
    <row r="9" spans="1:46" ht="26.25" x14ac:dyDescent="0.4">
      <c r="A9" s="49" t="s">
        <v>560</v>
      </c>
      <c r="B9" s="230" t="str">
        <f>IF(ISERROR(VLOOKUP("LR23_EX1_"&amp;$C$3,MAPP_ENTI!$A$2:$D$100,4,FALSE)),"",VLOOKUP("LR23_EX1_"&amp;$C$3,MAPP_ENTI!$A$2:$D$100,4,FALSE))</f>
        <v>702 - ASST SANTI PAOLO E CARLO</v>
      </c>
      <c r="C9" s="218">
        <f>+C20+C41+C62+C84</f>
        <v>77818</v>
      </c>
      <c r="D9" s="408"/>
      <c r="E9" s="218" t="s">
        <v>869</v>
      </c>
      <c r="F9" s="70"/>
      <c r="G9" s="70"/>
      <c r="H9" s="70"/>
      <c r="I9" s="70"/>
      <c r="J9" s="70"/>
    </row>
    <row r="10" spans="1:46" ht="26.25" x14ac:dyDescent="0.4">
      <c r="A10" s="49" t="s">
        <v>561</v>
      </c>
      <c r="B10" s="231" t="str">
        <f>IF(ISERROR(VLOOKUP("LR23_EX2_"&amp;$C$3,MAPP_ENTI!$A$2:$D$100,4,FALSE)),"",VLOOKUP("LR23_EX2_"&amp;$C$3,MAPP_ENTI!$A$2:$D$100,4,FALSE))</f>
        <v/>
      </c>
      <c r="C10" s="221"/>
      <c r="D10" s="408"/>
      <c r="E10" s="224"/>
      <c r="F10" s="71"/>
      <c r="G10" s="71"/>
      <c r="H10" s="71"/>
      <c r="I10" s="71"/>
      <c r="J10" s="71"/>
    </row>
    <row r="11" spans="1:46" ht="26.25" x14ac:dyDescent="0.4">
      <c r="A11" s="49" t="s">
        <v>562</v>
      </c>
      <c r="B11" s="231" t="str">
        <f>IF(ISERROR(VLOOKUP("LR23_EX3_"&amp;$C$3,MAPP_ENTI!$A$2:$D$100,4,FALSE)),"",VLOOKUP("LR23_EX3_"&amp;$C$3,MAPP_ENTI!$A$2:$D$100,4,FALSE))</f>
        <v/>
      </c>
      <c r="C11" s="221"/>
      <c r="D11" s="408"/>
      <c r="E11" s="224"/>
      <c r="F11" s="71"/>
      <c r="G11" s="71"/>
      <c r="H11" s="71"/>
      <c r="I11" s="71"/>
      <c r="J11" s="71"/>
    </row>
    <row r="12" spans="1:46" ht="26.25" x14ac:dyDescent="0.4">
      <c r="A12" s="49" t="s">
        <v>563</v>
      </c>
      <c r="B12" s="231" t="str">
        <f>IF(ISERROR(VLOOKUP("LR23_EX4_"&amp;$C$3,MAPP_ENTI!$A$2:$D$100,4,FALSE)),"",VLOOKUP("LR23_EX4_"&amp;$C$3,MAPP_ENTI!$A$2:$D$100,4,FALSE))</f>
        <v/>
      </c>
      <c r="C12" s="221"/>
      <c r="D12" s="408"/>
      <c r="E12" s="224"/>
      <c r="F12" s="71"/>
      <c r="G12" s="71"/>
      <c r="H12" s="71"/>
      <c r="I12" s="71"/>
      <c r="J12" s="71"/>
    </row>
    <row r="13" spans="1:46" ht="26.25" x14ac:dyDescent="0.4">
      <c r="A13" s="49" t="s">
        <v>564</v>
      </c>
      <c r="B13" s="231" t="str">
        <f>IF(ISERROR(VLOOKUP("LR23_EX5_"&amp;$C$3,MAPP_ENTI!$A$2:$D$100,4,FALSE)),"",VLOOKUP("LR23_EX5_"&amp;$C$3,MAPP_ENTI!$A$2:$D$100,4,FALSE))</f>
        <v/>
      </c>
      <c r="C13" s="221"/>
      <c r="D13" s="408"/>
      <c r="E13" s="224"/>
      <c r="F13" s="71"/>
      <c r="G13" s="71"/>
      <c r="H13" s="71"/>
      <c r="I13" s="71"/>
      <c r="J13" s="71"/>
    </row>
    <row r="14" spans="1:46" ht="26.25" x14ac:dyDescent="0.4">
      <c r="A14" s="49" t="s">
        <v>565</v>
      </c>
      <c r="B14" s="231" t="str">
        <f>IF(ISERROR(VLOOKUP("LR23_EX6_"&amp;$C$3,MAPP_ENTI!$A$2:$D$100,4,FALSE)),"",VLOOKUP("LR23_EX6_"&amp;$C$3,MAPP_ENTI!$A$2:$D$100,4,FALSE))</f>
        <v/>
      </c>
      <c r="C14" s="221"/>
      <c r="D14" s="408"/>
      <c r="E14" s="224"/>
      <c r="F14" s="71"/>
      <c r="G14" s="71"/>
      <c r="H14" s="71"/>
      <c r="I14" s="71"/>
      <c r="J14" s="71"/>
    </row>
    <row r="15" spans="1:46" ht="26.25" x14ac:dyDescent="0.4">
      <c r="A15" s="49" t="s">
        <v>566</v>
      </c>
      <c r="B15" s="232" t="str">
        <f>IF(ISERROR(VLOOKUP("LR23_EX7_"&amp;$C$3,MAPP_ENTI!$A$2:$D$100,4,FALSE)),"",VLOOKUP("LR23_EX7_"&amp;$C$3,MAPP_ENTI!$A$2:$D$100,4,FALSE))</f>
        <v/>
      </c>
      <c r="C15" s="226"/>
      <c r="D15" s="408"/>
      <c r="E15" s="227"/>
      <c r="F15" s="71"/>
      <c r="G15" s="71"/>
      <c r="H15" s="71"/>
      <c r="I15" s="71"/>
      <c r="J15" s="71"/>
    </row>
    <row r="16" spans="1:46" ht="18.75" x14ac:dyDescent="0.25">
      <c r="A16" s="49" t="s">
        <v>567</v>
      </c>
      <c r="B16" s="235" t="s">
        <v>568</v>
      </c>
      <c r="C16" s="236">
        <f>SUM(C9:C15)</f>
        <v>77818</v>
      </c>
      <c r="D16" s="408"/>
      <c r="E16" s="408"/>
      <c r="F16" s="72"/>
      <c r="G16" s="72"/>
      <c r="H16" s="72"/>
      <c r="I16" s="72"/>
      <c r="J16" s="72"/>
    </row>
    <row r="18" spans="1:10" ht="26.25" x14ac:dyDescent="0.4">
      <c r="B18" s="73"/>
    </row>
    <row r="19" spans="1:10" ht="26.25" x14ac:dyDescent="0.25">
      <c r="B19" s="68" t="s">
        <v>569</v>
      </c>
      <c r="C19" s="86" t="str">
        <f>MID($B9,1,3)</f>
        <v>702</v>
      </c>
      <c r="D19" s="86" t="str">
        <f>MID($B10,1,3)</f>
        <v/>
      </c>
      <c r="E19" s="86" t="str">
        <f>MID($B11,1,3)</f>
        <v/>
      </c>
      <c r="F19" s="86" t="str">
        <f>MID($B12,1,3)</f>
        <v/>
      </c>
      <c r="G19" s="86" t="str">
        <f>MID($B13,1,3)</f>
        <v/>
      </c>
      <c r="H19" s="86" t="str">
        <f>MID($B14,1,3)</f>
        <v/>
      </c>
      <c r="I19" s="86" t="str">
        <f>MID($B15,1,3)</f>
        <v/>
      </c>
      <c r="J19" s="68" t="s">
        <v>570</v>
      </c>
    </row>
    <row r="20" spans="1:10" ht="26.25" x14ac:dyDescent="0.4">
      <c r="A20" s="49" t="s">
        <v>571</v>
      </c>
      <c r="B20" s="78" t="s">
        <v>341</v>
      </c>
      <c r="C20" s="64">
        <f>SUM(C21:C40)</f>
        <v>21217</v>
      </c>
      <c r="D20" s="64">
        <f t="shared" ref="D20:I20" si="0">SUM(D21:D40)</f>
        <v>0</v>
      </c>
      <c r="E20" s="64">
        <f t="shared" si="0"/>
        <v>0</v>
      </c>
      <c r="F20" s="64">
        <f t="shared" si="0"/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87">
        <f t="shared" ref="J20:J61" si="1">SUM(C20:I20)</f>
        <v>21217</v>
      </c>
    </row>
    <row r="21" spans="1:10" ht="20.25" customHeight="1" x14ac:dyDescent="0.25">
      <c r="A21" s="49" t="s">
        <v>572</v>
      </c>
      <c r="B21" s="436" t="s">
        <v>835</v>
      </c>
      <c r="C21" s="436">
        <v>1608</v>
      </c>
      <c r="D21" s="162"/>
      <c r="E21" s="162"/>
      <c r="F21" s="162"/>
      <c r="G21" s="162"/>
      <c r="H21" s="162"/>
      <c r="I21" s="162"/>
      <c r="J21" s="254">
        <f t="shared" si="1"/>
        <v>1608</v>
      </c>
    </row>
    <row r="22" spans="1:10" ht="18.75" x14ac:dyDescent="0.25">
      <c r="A22" s="49" t="s">
        <v>573</v>
      </c>
      <c r="B22" s="437" t="s">
        <v>836</v>
      </c>
      <c r="C22" s="437">
        <v>36</v>
      </c>
      <c r="D22" s="141"/>
      <c r="E22" s="141"/>
      <c r="F22" s="141"/>
      <c r="G22" s="141"/>
      <c r="H22" s="141"/>
      <c r="I22" s="141"/>
      <c r="J22" s="255">
        <f t="shared" si="1"/>
        <v>36</v>
      </c>
    </row>
    <row r="23" spans="1:10" ht="18.75" x14ac:dyDescent="0.25">
      <c r="A23" s="49" t="s">
        <v>574</v>
      </c>
      <c r="B23" s="437" t="s">
        <v>874</v>
      </c>
      <c r="C23" s="437">
        <f>14845-5700</f>
        <v>9145</v>
      </c>
      <c r="D23" s="141"/>
      <c r="E23" s="141"/>
      <c r="F23" s="141"/>
      <c r="G23" s="141"/>
      <c r="H23" s="141"/>
      <c r="I23" s="141"/>
      <c r="J23" s="255">
        <f>SUM(D23:I23)</f>
        <v>0</v>
      </c>
    </row>
    <row r="24" spans="1:10" ht="18.75" x14ac:dyDescent="0.25">
      <c r="A24" s="49" t="s">
        <v>575</v>
      </c>
      <c r="B24" s="141" t="s">
        <v>837</v>
      </c>
      <c r="C24" s="141">
        <v>1382</v>
      </c>
      <c r="D24" s="141"/>
      <c r="E24" s="141"/>
      <c r="F24" s="141"/>
      <c r="G24" s="141"/>
      <c r="H24" s="141"/>
      <c r="I24" s="141"/>
      <c r="J24" s="255">
        <f>SUM(D24:I24)</f>
        <v>0</v>
      </c>
    </row>
    <row r="25" spans="1:10" ht="18.75" x14ac:dyDescent="0.25">
      <c r="A25" s="49" t="s">
        <v>576</v>
      </c>
      <c r="B25" s="141" t="s">
        <v>838</v>
      </c>
      <c r="C25" s="141">
        <v>2102</v>
      </c>
      <c r="D25" s="141"/>
      <c r="E25" s="141"/>
      <c r="F25" s="141"/>
      <c r="G25" s="141"/>
      <c r="H25" s="141"/>
      <c r="I25" s="141"/>
      <c r="J25" s="255">
        <f>SUM(D25:I25)</f>
        <v>0</v>
      </c>
    </row>
    <row r="26" spans="1:10" ht="18.75" x14ac:dyDescent="0.25">
      <c r="A26" s="49" t="s">
        <v>577</v>
      </c>
      <c r="B26" s="141" t="s">
        <v>839</v>
      </c>
      <c r="C26" s="141">
        <v>6944</v>
      </c>
      <c r="D26" s="141"/>
      <c r="E26" s="141"/>
      <c r="F26" s="141"/>
      <c r="G26" s="141"/>
      <c r="H26" s="141"/>
      <c r="I26" s="141"/>
      <c r="J26" s="255">
        <f>SUM(D26:I26)</f>
        <v>0</v>
      </c>
    </row>
    <row r="27" spans="1:10" ht="18.75" x14ac:dyDescent="0.25">
      <c r="A27" s="49" t="s">
        <v>578</v>
      </c>
      <c r="B27" s="437"/>
      <c r="C27" s="437"/>
      <c r="D27" s="141"/>
      <c r="E27" s="141"/>
      <c r="F27" s="141"/>
      <c r="G27" s="141"/>
      <c r="H27" s="141"/>
      <c r="I27" s="141"/>
      <c r="J27" s="255">
        <f t="shared" si="1"/>
        <v>0</v>
      </c>
    </row>
    <row r="28" spans="1:10" ht="18.75" x14ac:dyDescent="0.25">
      <c r="A28" s="49" t="s">
        <v>579</v>
      </c>
      <c r="B28" s="437"/>
      <c r="C28" s="437"/>
      <c r="D28" s="141"/>
      <c r="E28" s="141"/>
      <c r="F28" s="141"/>
      <c r="G28" s="141"/>
      <c r="H28" s="141"/>
      <c r="I28" s="141"/>
      <c r="J28" s="255">
        <f t="shared" si="1"/>
        <v>0</v>
      </c>
    </row>
    <row r="29" spans="1:10" ht="18.75" x14ac:dyDescent="0.25">
      <c r="A29" s="49" t="s">
        <v>580</v>
      </c>
      <c r="B29" s="437"/>
      <c r="C29" s="437"/>
      <c r="D29" s="141"/>
      <c r="E29" s="141"/>
      <c r="F29" s="141"/>
      <c r="G29" s="141"/>
      <c r="H29" s="141"/>
      <c r="I29" s="141"/>
      <c r="J29" s="255">
        <f t="shared" si="1"/>
        <v>0</v>
      </c>
    </row>
    <row r="30" spans="1:10" ht="18.75" x14ac:dyDescent="0.25">
      <c r="A30" s="49" t="s">
        <v>581</v>
      </c>
      <c r="B30" s="141"/>
      <c r="C30" s="141"/>
      <c r="D30" s="141"/>
      <c r="E30" s="141"/>
      <c r="F30" s="141"/>
      <c r="G30" s="141"/>
      <c r="H30" s="141"/>
      <c r="I30" s="141"/>
      <c r="J30" s="255">
        <f t="shared" si="1"/>
        <v>0</v>
      </c>
    </row>
    <row r="31" spans="1:10" ht="18.75" x14ac:dyDescent="0.25">
      <c r="A31" s="49" t="s">
        <v>582</v>
      </c>
      <c r="B31" s="141"/>
      <c r="C31" s="141"/>
      <c r="D31" s="141"/>
      <c r="E31" s="141"/>
      <c r="F31" s="141"/>
      <c r="G31" s="141"/>
      <c r="H31" s="141"/>
      <c r="I31" s="141"/>
      <c r="J31" s="255">
        <f t="shared" si="1"/>
        <v>0</v>
      </c>
    </row>
    <row r="32" spans="1:10" ht="18.75" x14ac:dyDescent="0.25">
      <c r="A32" s="49" t="s">
        <v>583</v>
      </c>
      <c r="B32" s="141"/>
      <c r="C32" s="141"/>
      <c r="D32" s="141"/>
      <c r="E32" s="141"/>
      <c r="F32" s="141"/>
      <c r="G32" s="141"/>
      <c r="H32" s="141"/>
      <c r="I32" s="141"/>
      <c r="J32" s="255">
        <f t="shared" si="1"/>
        <v>0</v>
      </c>
    </row>
    <row r="33" spans="1:10" ht="18.75" x14ac:dyDescent="0.25">
      <c r="A33" s="49" t="s">
        <v>584</v>
      </c>
      <c r="B33" s="141"/>
      <c r="C33" s="141"/>
      <c r="D33" s="141"/>
      <c r="E33" s="141"/>
      <c r="F33" s="141"/>
      <c r="G33" s="141"/>
      <c r="H33" s="141"/>
      <c r="I33" s="141"/>
      <c r="J33" s="255">
        <f t="shared" si="1"/>
        <v>0</v>
      </c>
    </row>
    <row r="34" spans="1:10" ht="18.75" x14ac:dyDescent="0.25">
      <c r="A34" s="49" t="s">
        <v>585</v>
      </c>
      <c r="B34" s="141"/>
      <c r="C34" s="141"/>
      <c r="D34" s="141"/>
      <c r="E34" s="141"/>
      <c r="F34" s="141"/>
      <c r="G34" s="141"/>
      <c r="H34" s="141"/>
      <c r="I34" s="141"/>
      <c r="J34" s="255">
        <f t="shared" si="1"/>
        <v>0</v>
      </c>
    </row>
    <row r="35" spans="1:10" ht="18.75" x14ac:dyDescent="0.25">
      <c r="A35" s="49" t="s">
        <v>586</v>
      </c>
      <c r="B35" s="141"/>
      <c r="C35" s="141"/>
      <c r="D35" s="141"/>
      <c r="E35" s="141"/>
      <c r="F35" s="141"/>
      <c r="G35" s="141"/>
      <c r="H35" s="141"/>
      <c r="I35" s="141"/>
      <c r="J35" s="255">
        <f t="shared" si="1"/>
        <v>0</v>
      </c>
    </row>
    <row r="36" spans="1:10" ht="18.75" x14ac:dyDescent="0.25">
      <c r="A36" s="49" t="s">
        <v>587</v>
      </c>
      <c r="B36" s="141"/>
      <c r="C36" s="141"/>
      <c r="D36" s="141"/>
      <c r="E36" s="141"/>
      <c r="F36" s="141"/>
      <c r="G36" s="141"/>
      <c r="H36" s="141"/>
      <c r="I36" s="141"/>
      <c r="J36" s="255">
        <f t="shared" si="1"/>
        <v>0</v>
      </c>
    </row>
    <row r="37" spans="1:10" ht="18.75" x14ac:dyDescent="0.25">
      <c r="A37" s="49" t="s">
        <v>588</v>
      </c>
      <c r="B37" s="141"/>
      <c r="C37" s="141"/>
      <c r="D37" s="141"/>
      <c r="E37" s="141"/>
      <c r="F37" s="141"/>
      <c r="G37" s="141"/>
      <c r="H37" s="141"/>
      <c r="I37" s="141"/>
      <c r="J37" s="255">
        <f t="shared" si="1"/>
        <v>0</v>
      </c>
    </row>
    <row r="38" spans="1:10" ht="18.75" x14ac:dyDescent="0.25">
      <c r="A38" s="49" t="s">
        <v>589</v>
      </c>
      <c r="B38" s="141"/>
      <c r="C38" s="141"/>
      <c r="D38" s="141"/>
      <c r="E38" s="141"/>
      <c r="F38" s="141"/>
      <c r="G38" s="141"/>
      <c r="H38" s="141"/>
      <c r="I38" s="141"/>
      <c r="J38" s="255">
        <f t="shared" si="1"/>
        <v>0</v>
      </c>
    </row>
    <row r="39" spans="1:10" ht="18.75" x14ac:dyDescent="0.25">
      <c r="A39" s="49" t="s">
        <v>590</v>
      </c>
      <c r="B39" s="141"/>
      <c r="C39" s="141"/>
      <c r="D39" s="141"/>
      <c r="E39" s="141"/>
      <c r="F39" s="141"/>
      <c r="G39" s="141"/>
      <c r="H39" s="141"/>
      <c r="I39" s="141"/>
      <c r="J39" s="255">
        <f t="shared" si="1"/>
        <v>0</v>
      </c>
    </row>
    <row r="40" spans="1:10" ht="18.75" x14ac:dyDescent="0.25">
      <c r="A40" s="49" t="s">
        <v>591</v>
      </c>
      <c r="B40" s="139"/>
      <c r="C40" s="139"/>
      <c r="D40" s="139"/>
      <c r="E40" s="139"/>
      <c r="F40" s="139"/>
      <c r="G40" s="139"/>
      <c r="H40" s="139"/>
      <c r="I40" s="139"/>
      <c r="J40" s="256">
        <f t="shared" si="1"/>
        <v>0</v>
      </c>
    </row>
    <row r="41" spans="1:10" ht="26.25" x14ac:dyDescent="0.4">
      <c r="A41" s="49" t="s">
        <v>592</v>
      </c>
      <c r="B41" s="79" t="s">
        <v>347</v>
      </c>
      <c r="C41" s="80">
        <f>SUM(C42:C61)</f>
        <v>10516</v>
      </c>
      <c r="D41" s="80">
        <f t="shared" ref="D41:I41" si="2">SUM(D42:D61)</f>
        <v>0</v>
      </c>
      <c r="E41" s="80">
        <f t="shared" si="2"/>
        <v>0</v>
      </c>
      <c r="F41" s="80">
        <f t="shared" si="2"/>
        <v>0</v>
      </c>
      <c r="G41" s="80">
        <f t="shared" si="2"/>
        <v>0</v>
      </c>
      <c r="H41" s="80">
        <f t="shared" si="2"/>
        <v>0</v>
      </c>
      <c r="I41" s="80">
        <f t="shared" si="2"/>
        <v>0</v>
      </c>
      <c r="J41" s="80">
        <f t="shared" si="1"/>
        <v>10516</v>
      </c>
    </row>
    <row r="42" spans="1:10" ht="18.75" x14ac:dyDescent="0.25">
      <c r="A42" s="49" t="s">
        <v>593</v>
      </c>
      <c r="B42" s="436" t="s">
        <v>840</v>
      </c>
      <c r="C42" s="436">
        <v>106</v>
      </c>
      <c r="D42" s="162"/>
      <c r="E42" s="162"/>
      <c r="F42" s="162"/>
      <c r="G42" s="162"/>
      <c r="H42" s="162"/>
      <c r="I42" s="162"/>
      <c r="J42" s="254">
        <f t="shared" si="1"/>
        <v>106</v>
      </c>
    </row>
    <row r="43" spans="1:10" ht="18.75" x14ac:dyDescent="0.25">
      <c r="A43" s="49" t="s">
        <v>594</v>
      </c>
      <c r="B43" s="437" t="s">
        <v>841</v>
      </c>
      <c r="C43" s="437">
        <v>1446</v>
      </c>
      <c r="D43" s="141"/>
      <c r="E43" s="141"/>
      <c r="F43" s="141"/>
      <c r="G43" s="141"/>
      <c r="H43" s="141"/>
      <c r="I43" s="141"/>
      <c r="J43" s="255">
        <f>SUM(D43:I43)</f>
        <v>0</v>
      </c>
    </row>
    <row r="44" spans="1:10" ht="18.75" x14ac:dyDescent="0.25">
      <c r="A44" s="49" t="s">
        <v>595</v>
      </c>
      <c r="B44" s="437" t="s">
        <v>842</v>
      </c>
      <c r="C44" s="437">
        <v>119</v>
      </c>
      <c r="D44" s="141"/>
      <c r="E44" s="141"/>
      <c r="F44" s="141"/>
      <c r="G44" s="141"/>
      <c r="H44" s="141"/>
      <c r="I44" s="141"/>
      <c r="J44" s="255">
        <f>SUM(D44:I44)</f>
        <v>0</v>
      </c>
    </row>
    <row r="45" spans="1:10" ht="18.75" x14ac:dyDescent="0.25">
      <c r="A45" s="49" t="s">
        <v>596</v>
      </c>
      <c r="B45" s="437" t="s">
        <v>843</v>
      </c>
      <c r="C45" s="437">
        <v>105</v>
      </c>
      <c r="D45" s="141"/>
      <c r="E45" s="141"/>
      <c r="F45" s="141"/>
      <c r="G45" s="141"/>
      <c r="H45" s="141"/>
      <c r="I45" s="141"/>
      <c r="J45" s="255">
        <f t="shared" si="1"/>
        <v>105</v>
      </c>
    </row>
    <row r="46" spans="1:10" ht="18.75" x14ac:dyDescent="0.25">
      <c r="A46" s="49" t="s">
        <v>597</v>
      </c>
      <c r="B46" s="437" t="s">
        <v>844</v>
      </c>
      <c r="C46" s="437">
        <v>300</v>
      </c>
      <c r="D46" s="141"/>
      <c r="E46" s="141"/>
      <c r="F46" s="141"/>
      <c r="G46" s="141"/>
      <c r="H46" s="141"/>
      <c r="I46" s="141"/>
      <c r="J46" s="255">
        <f t="shared" si="1"/>
        <v>300</v>
      </c>
    </row>
    <row r="47" spans="1:10" ht="37.5" x14ac:dyDescent="0.25">
      <c r="A47" s="49" t="s">
        <v>598</v>
      </c>
      <c r="B47" s="437" t="s">
        <v>845</v>
      </c>
      <c r="C47" s="437">
        <v>1</v>
      </c>
      <c r="D47" s="141"/>
      <c r="E47" s="141"/>
      <c r="F47" s="141"/>
      <c r="G47" s="141"/>
      <c r="H47" s="141"/>
      <c r="I47" s="141"/>
      <c r="J47" s="255">
        <f t="shared" si="1"/>
        <v>1</v>
      </c>
    </row>
    <row r="48" spans="1:10" ht="37.5" x14ac:dyDescent="0.25">
      <c r="A48" s="49" t="s">
        <v>599</v>
      </c>
      <c r="B48" s="437" t="s">
        <v>846</v>
      </c>
      <c r="C48" s="437">
        <v>240</v>
      </c>
      <c r="D48" s="141"/>
      <c r="E48" s="141"/>
      <c r="F48" s="141"/>
      <c r="G48" s="141"/>
      <c r="H48" s="141"/>
      <c r="I48" s="141"/>
      <c r="J48" s="255">
        <f t="shared" si="1"/>
        <v>240</v>
      </c>
    </row>
    <row r="49" spans="1:10" ht="18.75" x14ac:dyDescent="0.25">
      <c r="A49" s="49" t="s">
        <v>600</v>
      </c>
      <c r="B49" s="437" t="s">
        <v>847</v>
      </c>
      <c r="C49" s="437">
        <v>258</v>
      </c>
      <c r="D49" s="141"/>
      <c r="E49" s="141"/>
      <c r="F49" s="141"/>
      <c r="G49" s="141"/>
      <c r="H49" s="141"/>
      <c r="I49" s="141"/>
      <c r="J49" s="255">
        <f t="shared" si="1"/>
        <v>258</v>
      </c>
    </row>
    <row r="50" spans="1:10" ht="18.75" x14ac:dyDescent="0.25">
      <c r="A50" s="49" t="s">
        <v>601</v>
      </c>
      <c r="B50" s="437" t="s">
        <v>872</v>
      </c>
      <c r="C50" s="141">
        <v>1611</v>
      </c>
      <c r="D50" s="141"/>
      <c r="E50" s="141"/>
      <c r="F50" s="141"/>
      <c r="G50" s="141"/>
      <c r="H50" s="141"/>
      <c r="I50" s="141"/>
      <c r="J50" s="255">
        <f t="shared" si="1"/>
        <v>1611</v>
      </c>
    </row>
    <row r="51" spans="1:10" ht="18.75" x14ac:dyDescent="0.25">
      <c r="A51" s="49" t="s">
        <v>602</v>
      </c>
      <c r="B51" s="141" t="s">
        <v>873</v>
      </c>
      <c r="C51" s="141">
        <v>6330</v>
      </c>
      <c r="D51" s="141"/>
      <c r="E51" s="141"/>
      <c r="F51" s="141"/>
      <c r="G51" s="141"/>
      <c r="H51" s="141"/>
      <c r="I51" s="141"/>
      <c r="J51" s="255">
        <f t="shared" si="1"/>
        <v>6330</v>
      </c>
    </row>
    <row r="52" spans="1:10" ht="18.75" x14ac:dyDescent="0.25">
      <c r="A52" s="49" t="s">
        <v>603</v>
      </c>
      <c r="B52" s="437"/>
      <c r="C52" s="141"/>
      <c r="D52" s="141"/>
      <c r="E52" s="141"/>
      <c r="F52" s="141"/>
      <c r="G52" s="141"/>
      <c r="H52" s="141"/>
      <c r="I52" s="141"/>
      <c r="J52" s="255">
        <f t="shared" si="1"/>
        <v>0</v>
      </c>
    </row>
    <row r="53" spans="1:10" ht="18.75" x14ac:dyDescent="0.25">
      <c r="A53" s="49" t="s">
        <v>604</v>
      </c>
      <c r="B53" s="141"/>
      <c r="C53" s="141"/>
      <c r="D53" s="141"/>
      <c r="E53" s="141"/>
      <c r="F53" s="141"/>
      <c r="G53" s="141"/>
      <c r="H53" s="141"/>
      <c r="I53" s="141"/>
      <c r="J53" s="255">
        <f t="shared" si="1"/>
        <v>0</v>
      </c>
    </row>
    <row r="54" spans="1:10" ht="18.75" x14ac:dyDescent="0.25">
      <c r="A54" s="49" t="s">
        <v>605</v>
      </c>
      <c r="B54" s="141"/>
      <c r="C54" s="141"/>
      <c r="D54" s="141"/>
      <c r="E54" s="141"/>
      <c r="F54" s="141"/>
      <c r="G54" s="141"/>
      <c r="H54" s="141"/>
      <c r="I54" s="141"/>
      <c r="J54" s="255">
        <f t="shared" si="1"/>
        <v>0</v>
      </c>
    </row>
    <row r="55" spans="1:10" ht="18.75" x14ac:dyDescent="0.25">
      <c r="A55" s="49" t="s">
        <v>606</v>
      </c>
      <c r="B55" s="141"/>
      <c r="C55" s="141"/>
      <c r="D55" s="141"/>
      <c r="E55" s="141"/>
      <c r="F55" s="141"/>
      <c r="G55" s="141"/>
      <c r="H55" s="141"/>
      <c r="I55" s="141"/>
      <c r="J55" s="255">
        <f t="shared" si="1"/>
        <v>0</v>
      </c>
    </row>
    <row r="56" spans="1:10" ht="18.75" x14ac:dyDescent="0.25">
      <c r="A56" s="49" t="s">
        <v>607</v>
      </c>
      <c r="B56" s="141"/>
      <c r="C56" s="141"/>
      <c r="D56" s="141"/>
      <c r="E56" s="141"/>
      <c r="F56" s="141"/>
      <c r="G56" s="141"/>
      <c r="H56" s="141"/>
      <c r="I56" s="141"/>
      <c r="J56" s="255">
        <f t="shared" si="1"/>
        <v>0</v>
      </c>
    </row>
    <row r="57" spans="1:10" ht="18.75" x14ac:dyDescent="0.25">
      <c r="A57" s="49" t="s">
        <v>608</v>
      </c>
      <c r="B57" s="141"/>
      <c r="C57" s="141"/>
      <c r="D57" s="141"/>
      <c r="E57" s="141"/>
      <c r="F57" s="141"/>
      <c r="G57" s="141"/>
      <c r="H57" s="141"/>
      <c r="I57" s="141"/>
      <c r="J57" s="255">
        <f t="shared" si="1"/>
        <v>0</v>
      </c>
    </row>
    <row r="58" spans="1:10" ht="18.75" x14ac:dyDescent="0.25">
      <c r="A58" s="49" t="s">
        <v>609</v>
      </c>
      <c r="B58" s="141"/>
      <c r="C58" s="141"/>
      <c r="D58" s="141"/>
      <c r="E58" s="141"/>
      <c r="F58" s="141"/>
      <c r="G58" s="141"/>
      <c r="H58" s="141"/>
      <c r="I58" s="141"/>
      <c r="J58" s="255">
        <f t="shared" si="1"/>
        <v>0</v>
      </c>
    </row>
    <row r="59" spans="1:10" ht="18.75" x14ac:dyDescent="0.25">
      <c r="A59" s="49" t="s">
        <v>610</v>
      </c>
      <c r="B59" s="141"/>
      <c r="C59" s="141"/>
      <c r="D59" s="141"/>
      <c r="E59" s="141"/>
      <c r="F59" s="141"/>
      <c r="G59" s="141"/>
      <c r="H59" s="141"/>
      <c r="I59" s="141"/>
      <c r="J59" s="255">
        <f t="shared" si="1"/>
        <v>0</v>
      </c>
    </row>
    <row r="60" spans="1:10" ht="18.75" x14ac:dyDescent="0.25">
      <c r="A60" s="49" t="s">
        <v>611</v>
      </c>
      <c r="B60" s="141"/>
      <c r="C60" s="141"/>
      <c r="D60" s="141"/>
      <c r="E60" s="141"/>
      <c r="F60" s="141"/>
      <c r="G60" s="141"/>
      <c r="H60" s="141"/>
      <c r="I60" s="141"/>
      <c r="J60" s="255">
        <f t="shared" si="1"/>
        <v>0</v>
      </c>
    </row>
    <row r="61" spans="1:10" ht="18.75" x14ac:dyDescent="0.25">
      <c r="A61" s="49" t="s">
        <v>612</v>
      </c>
      <c r="B61" s="139"/>
      <c r="C61" s="139"/>
      <c r="D61" s="139"/>
      <c r="E61" s="139"/>
      <c r="F61" s="139"/>
      <c r="G61" s="139"/>
      <c r="H61" s="139"/>
      <c r="I61" s="139"/>
      <c r="J61" s="256">
        <f t="shared" si="1"/>
        <v>0</v>
      </c>
    </row>
    <row r="62" spans="1:10" ht="26.25" x14ac:dyDescent="0.4">
      <c r="A62" s="49" t="s">
        <v>613</v>
      </c>
      <c r="B62" s="79" t="s">
        <v>349</v>
      </c>
      <c r="C62" s="80">
        <f>SUM(C63:C82)</f>
        <v>400</v>
      </c>
      <c r="D62" s="80">
        <f t="shared" ref="D62:I62" si="3">SUM(D63:D82)</f>
        <v>0</v>
      </c>
      <c r="E62" s="80">
        <f t="shared" si="3"/>
        <v>0</v>
      </c>
      <c r="F62" s="80">
        <f t="shared" si="3"/>
        <v>0</v>
      </c>
      <c r="G62" s="80">
        <f t="shared" si="3"/>
        <v>0</v>
      </c>
      <c r="H62" s="80">
        <f t="shared" si="3"/>
        <v>0</v>
      </c>
      <c r="I62" s="80">
        <f t="shared" si="3"/>
        <v>0</v>
      </c>
      <c r="J62" s="80">
        <f t="shared" ref="J62:J82" si="4">SUM(C62:I62)</f>
        <v>400</v>
      </c>
    </row>
    <row r="63" spans="1:10" ht="37.5" x14ac:dyDescent="0.25">
      <c r="A63" s="49" t="s">
        <v>614</v>
      </c>
      <c r="B63" s="436" t="s">
        <v>848</v>
      </c>
      <c r="C63" s="436">
        <v>1</v>
      </c>
      <c r="D63" s="162"/>
      <c r="E63" s="162"/>
      <c r="F63" s="162"/>
      <c r="G63" s="162"/>
      <c r="H63" s="162"/>
      <c r="I63" s="162"/>
      <c r="J63" s="254">
        <f t="shared" si="4"/>
        <v>1</v>
      </c>
    </row>
    <row r="64" spans="1:10" ht="37.5" x14ac:dyDescent="0.25">
      <c r="A64" s="49" t="s">
        <v>615</v>
      </c>
      <c r="B64" s="437" t="s">
        <v>848</v>
      </c>
      <c r="C64" s="437">
        <v>133</v>
      </c>
      <c r="D64" s="141"/>
      <c r="E64" s="141"/>
      <c r="F64" s="141"/>
      <c r="G64" s="141"/>
      <c r="H64" s="141"/>
      <c r="I64" s="141"/>
      <c r="J64" s="255">
        <f t="shared" si="4"/>
        <v>133</v>
      </c>
    </row>
    <row r="65" spans="1:10" ht="18.75" x14ac:dyDescent="0.25">
      <c r="A65" s="49" t="s">
        <v>616</v>
      </c>
      <c r="B65" s="437" t="s">
        <v>849</v>
      </c>
      <c r="C65" s="437">
        <f>45-40</f>
        <v>5</v>
      </c>
      <c r="D65" s="141"/>
      <c r="E65" s="141"/>
      <c r="F65" s="141"/>
      <c r="G65" s="141"/>
      <c r="H65" s="141"/>
      <c r="I65" s="141"/>
      <c r="J65" s="255">
        <f t="shared" si="4"/>
        <v>5</v>
      </c>
    </row>
    <row r="66" spans="1:10" ht="18.75" x14ac:dyDescent="0.25">
      <c r="A66" s="49" t="s">
        <v>617</v>
      </c>
      <c r="B66" s="141" t="s">
        <v>850</v>
      </c>
      <c r="C66" s="141">
        <v>261</v>
      </c>
      <c r="D66" s="141"/>
      <c r="E66" s="141"/>
      <c r="F66" s="141"/>
      <c r="G66" s="141"/>
      <c r="H66" s="141"/>
      <c r="I66" s="141"/>
      <c r="J66" s="255">
        <f>SUM(D66:I66)</f>
        <v>0</v>
      </c>
    </row>
    <row r="67" spans="1:10" ht="18.75" x14ac:dyDescent="0.25">
      <c r="A67" s="49" t="s">
        <v>618</v>
      </c>
      <c r="B67" s="141"/>
      <c r="C67" s="141"/>
      <c r="D67" s="141"/>
      <c r="E67" s="141"/>
      <c r="F67" s="141"/>
      <c r="G67" s="141"/>
      <c r="H67" s="141"/>
      <c r="I67" s="141"/>
      <c r="J67" s="255">
        <f t="shared" si="4"/>
        <v>0</v>
      </c>
    </row>
    <row r="68" spans="1:10" ht="18.75" x14ac:dyDescent="0.25">
      <c r="A68" s="49" t="s">
        <v>619</v>
      </c>
      <c r="B68" s="141"/>
      <c r="C68" s="141"/>
      <c r="D68" s="141"/>
      <c r="E68" s="141"/>
      <c r="F68" s="141"/>
      <c r="G68" s="141"/>
      <c r="H68" s="141"/>
      <c r="I68" s="141"/>
      <c r="J68" s="255">
        <f t="shared" si="4"/>
        <v>0</v>
      </c>
    </row>
    <row r="69" spans="1:10" ht="18.75" x14ac:dyDescent="0.25">
      <c r="A69" s="49" t="s">
        <v>620</v>
      </c>
      <c r="B69" s="141"/>
      <c r="C69" s="141"/>
      <c r="D69" s="141"/>
      <c r="E69" s="141"/>
      <c r="F69" s="141"/>
      <c r="G69" s="141"/>
      <c r="H69" s="141"/>
      <c r="I69" s="141"/>
      <c r="J69" s="255">
        <f t="shared" si="4"/>
        <v>0</v>
      </c>
    </row>
    <row r="70" spans="1:10" ht="18.75" x14ac:dyDescent="0.25">
      <c r="A70" s="49" t="s">
        <v>621</v>
      </c>
      <c r="B70" s="141"/>
      <c r="C70" s="141"/>
      <c r="D70" s="141"/>
      <c r="E70" s="141"/>
      <c r="F70" s="141"/>
      <c r="G70" s="141"/>
      <c r="H70" s="141"/>
      <c r="I70" s="141"/>
      <c r="J70" s="255">
        <f t="shared" si="4"/>
        <v>0</v>
      </c>
    </row>
    <row r="71" spans="1:10" ht="18.75" x14ac:dyDescent="0.25">
      <c r="A71" s="49" t="s">
        <v>622</v>
      </c>
      <c r="B71" s="141"/>
      <c r="C71" s="141"/>
      <c r="D71" s="141"/>
      <c r="E71" s="141"/>
      <c r="F71" s="141"/>
      <c r="G71" s="141"/>
      <c r="H71" s="141"/>
      <c r="I71" s="141"/>
      <c r="J71" s="255">
        <f t="shared" si="4"/>
        <v>0</v>
      </c>
    </row>
    <row r="72" spans="1:10" ht="18.75" x14ac:dyDescent="0.25">
      <c r="A72" s="49" t="s">
        <v>623</v>
      </c>
      <c r="B72" s="141"/>
      <c r="C72" s="141"/>
      <c r="D72" s="141"/>
      <c r="E72" s="141"/>
      <c r="F72" s="141"/>
      <c r="G72" s="141"/>
      <c r="H72" s="141"/>
      <c r="I72" s="141"/>
      <c r="J72" s="255">
        <f t="shared" si="4"/>
        <v>0</v>
      </c>
    </row>
    <row r="73" spans="1:10" ht="18.75" x14ac:dyDescent="0.25">
      <c r="A73" s="49" t="s">
        <v>624</v>
      </c>
      <c r="B73" s="141"/>
      <c r="C73" s="141"/>
      <c r="D73" s="141"/>
      <c r="E73" s="141"/>
      <c r="F73" s="141"/>
      <c r="G73" s="141"/>
      <c r="H73" s="141"/>
      <c r="I73" s="141"/>
      <c r="J73" s="255">
        <f t="shared" si="4"/>
        <v>0</v>
      </c>
    </row>
    <row r="74" spans="1:10" ht="18.75" x14ac:dyDescent="0.25">
      <c r="A74" s="49" t="s">
        <v>625</v>
      </c>
      <c r="B74" s="141"/>
      <c r="C74" s="141"/>
      <c r="D74" s="141"/>
      <c r="E74" s="141"/>
      <c r="F74" s="141"/>
      <c r="G74" s="141"/>
      <c r="H74" s="141"/>
      <c r="I74" s="141"/>
      <c r="J74" s="255">
        <f t="shared" si="4"/>
        <v>0</v>
      </c>
    </row>
    <row r="75" spans="1:10" ht="18.75" x14ac:dyDescent="0.25">
      <c r="A75" s="49" t="s">
        <v>626</v>
      </c>
      <c r="B75" s="141"/>
      <c r="C75" s="141"/>
      <c r="D75" s="141"/>
      <c r="E75" s="141"/>
      <c r="F75" s="141"/>
      <c r="G75" s="141"/>
      <c r="H75" s="141"/>
      <c r="I75" s="141"/>
      <c r="J75" s="255">
        <f t="shared" si="4"/>
        <v>0</v>
      </c>
    </row>
    <row r="76" spans="1:10" ht="18.75" x14ac:dyDescent="0.25">
      <c r="A76" s="49" t="s">
        <v>627</v>
      </c>
      <c r="B76" s="141"/>
      <c r="C76" s="141"/>
      <c r="D76" s="141"/>
      <c r="E76" s="141"/>
      <c r="F76" s="141"/>
      <c r="G76" s="141"/>
      <c r="H76" s="141"/>
      <c r="I76" s="141"/>
      <c r="J76" s="255">
        <f t="shared" si="4"/>
        <v>0</v>
      </c>
    </row>
    <row r="77" spans="1:10" ht="18.75" x14ac:dyDescent="0.25">
      <c r="A77" s="49" t="s">
        <v>628</v>
      </c>
      <c r="B77" s="141"/>
      <c r="C77" s="141"/>
      <c r="D77" s="141"/>
      <c r="E77" s="141"/>
      <c r="F77" s="141"/>
      <c r="G77" s="141"/>
      <c r="H77" s="141"/>
      <c r="I77" s="141"/>
      <c r="J77" s="255">
        <f t="shared" si="4"/>
        <v>0</v>
      </c>
    </row>
    <row r="78" spans="1:10" ht="18.75" x14ac:dyDescent="0.25">
      <c r="A78" s="49" t="s">
        <v>629</v>
      </c>
      <c r="B78" s="141"/>
      <c r="C78" s="141"/>
      <c r="D78" s="141"/>
      <c r="E78" s="141"/>
      <c r="F78" s="141"/>
      <c r="G78" s="141"/>
      <c r="H78" s="141"/>
      <c r="I78" s="141"/>
      <c r="J78" s="255">
        <f t="shared" si="4"/>
        <v>0</v>
      </c>
    </row>
    <row r="79" spans="1:10" ht="18.75" x14ac:dyDescent="0.25">
      <c r="A79" s="49" t="s">
        <v>630</v>
      </c>
      <c r="B79" s="141"/>
      <c r="C79" s="141"/>
      <c r="D79" s="141"/>
      <c r="E79" s="141"/>
      <c r="F79" s="141"/>
      <c r="G79" s="141"/>
      <c r="H79" s="141"/>
      <c r="I79" s="141"/>
      <c r="J79" s="255">
        <f t="shared" si="4"/>
        <v>0</v>
      </c>
    </row>
    <row r="80" spans="1:10" ht="18.75" x14ac:dyDescent="0.25">
      <c r="A80" s="49" t="s">
        <v>631</v>
      </c>
      <c r="B80" s="141"/>
      <c r="C80" s="141"/>
      <c r="D80" s="141"/>
      <c r="E80" s="141"/>
      <c r="F80" s="141"/>
      <c r="G80" s="141"/>
      <c r="H80" s="141"/>
      <c r="I80" s="141"/>
      <c r="J80" s="255">
        <f t="shared" si="4"/>
        <v>0</v>
      </c>
    </row>
    <row r="81" spans="1:10" ht="18.75" x14ac:dyDescent="0.25">
      <c r="A81" s="49" t="s">
        <v>632</v>
      </c>
      <c r="B81" s="141"/>
      <c r="C81" s="141"/>
      <c r="D81" s="141"/>
      <c r="E81" s="141"/>
      <c r="F81" s="141"/>
      <c r="G81" s="141"/>
      <c r="H81" s="141"/>
      <c r="I81" s="141"/>
      <c r="J81" s="255">
        <f t="shared" si="4"/>
        <v>0</v>
      </c>
    </row>
    <row r="82" spans="1:10" ht="18.75" x14ac:dyDescent="0.25">
      <c r="A82" s="49" t="s">
        <v>633</v>
      </c>
      <c r="B82" s="160"/>
      <c r="C82" s="160"/>
      <c r="D82" s="160"/>
      <c r="E82" s="160"/>
      <c r="F82" s="160"/>
      <c r="G82" s="160"/>
      <c r="H82" s="160"/>
      <c r="I82" s="160"/>
      <c r="J82" s="257">
        <f t="shared" si="4"/>
        <v>0</v>
      </c>
    </row>
    <row r="83" spans="1:10" ht="26.25" x14ac:dyDescent="0.25">
      <c r="A83" s="49" t="s">
        <v>634</v>
      </c>
      <c r="B83" s="68" t="s">
        <v>635</v>
      </c>
      <c r="C83" s="86" t="str">
        <f>C$19</f>
        <v>702</v>
      </c>
      <c r="D83" s="86" t="str">
        <f t="shared" ref="D83:I83" si="5">D$19</f>
        <v/>
      </c>
      <c r="E83" s="86" t="str">
        <f t="shared" si="5"/>
        <v/>
      </c>
      <c r="F83" s="86" t="str">
        <f t="shared" si="5"/>
        <v/>
      </c>
      <c r="G83" s="86" t="str">
        <f t="shared" si="5"/>
        <v/>
      </c>
      <c r="H83" s="86" t="str">
        <f t="shared" si="5"/>
        <v/>
      </c>
      <c r="I83" s="86" t="str">
        <f t="shared" si="5"/>
        <v/>
      </c>
      <c r="J83" s="68" t="s">
        <v>636</v>
      </c>
    </row>
    <row r="84" spans="1:10" ht="26.25" x14ac:dyDescent="0.4">
      <c r="A84" s="49" t="s">
        <v>637</v>
      </c>
      <c r="B84" s="79" t="s">
        <v>638</v>
      </c>
      <c r="C84" s="80">
        <f>SUM(C85:C104)</f>
        <v>45685</v>
      </c>
      <c r="D84" s="80">
        <f t="shared" ref="D84:I84" si="6">SUM(D85:D104)</f>
        <v>0</v>
      </c>
      <c r="E84" s="80">
        <f t="shared" si="6"/>
        <v>0</v>
      </c>
      <c r="F84" s="80">
        <f t="shared" si="6"/>
        <v>0</v>
      </c>
      <c r="G84" s="80">
        <f t="shared" si="6"/>
        <v>0</v>
      </c>
      <c r="H84" s="80">
        <f t="shared" si="6"/>
        <v>0</v>
      </c>
      <c r="I84" s="80">
        <f t="shared" si="6"/>
        <v>0</v>
      </c>
      <c r="J84" s="80">
        <f t="shared" ref="J84:J105" si="7">SUM(C84:I84)</f>
        <v>45685</v>
      </c>
    </row>
    <row r="85" spans="1:10" ht="18.75" x14ac:dyDescent="0.25">
      <c r="A85" s="49" t="s">
        <v>639</v>
      </c>
      <c r="B85" s="436" t="s">
        <v>851</v>
      </c>
      <c r="C85" s="436">
        <v>2686</v>
      </c>
      <c r="D85" s="162"/>
      <c r="E85" s="162"/>
      <c r="F85" s="162"/>
      <c r="G85" s="162"/>
      <c r="H85" s="162"/>
      <c r="I85" s="162"/>
      <c r="J85" s="254">
        <f t="shared" si="7"/>
        <v>2686</v>
      </c>
    </row>
    <row r="86" spans="1:10" ht="18.75" x14ac:dyDescent="0.25">
      <c r="A86" s="49" t="s">
        <v>640</v>
      </c>
      <c r="B86" s="437" t="s">
        <v>852</v>
      </c>
      <c r="C86" s="437">
        <f>1059-802</f>
        <v>257</v>
      </c>
      <c r="D86" s="141"/>
      <c r="E86" s="141"/>
      <c r="F86" s="141"/>
      <c r="G86" s="141"/>
      <c r="H86" s="141"/>
      <c r="I86" s="141"/>
      <c r="J86" s="255">
        <f t="shared" si="7"/>
        <v>257</v>
      </c>
    </row>
    <row r="87" spans="1:10" ht="18.75" x14ac:dyDescent="0.25">
      <c r="A87" s="49" t="s">
        <v>641</v>
      </c>
      <c r="B87" s="437" t="s">
        <v>853</v>
      </c>
      <c r="C87" s="437">
        <v>905</v>
      </c>
      <c r="D87" s="141"/>
      <c r="E87" s="141"/>
      <c r="F87" s="141"/>
      <c r="G87" s="141"/>
      <c r="H87" s="141"/>
      <c r="I87" s="141"/>
      <c r="J87" s="255">
        <f t="shared" si="7"/>
        <v>905</v>
      </c>
    </row>
    <row r="88" spans="1:10" ht="37.5" x14ac:dyDescent="0.25">
      <c r="A88" s="49" t="s">
        <v>642</v>
      </c>
      <c r="B88" s="437" t="s">
        <v>854</v>
      </c>
      <c r="C88" s="437">
        <v>111</v>
      </c>
      <c r="D88" s="141"/>
      <c r="E88" s="141"/>
      <c r="F88" s="141"/>
      <c r="G88" s="141"/>
      <c r="H88" s="141"/>
      <c r="I88" s="141"/>
      <c r="J88" s="255">
        <f t="shared" si="7"/>
        <v>111</v>
      </c>
    </row>
    <row r="89" spans="1:10" ht="37.5" x14ac:dyDescent="0.25">
      <c r="A89" s="49" t="s">
        <v>643</v>
      </c>
      <c r="B89" s="437" t="s">
        <v>855</v>
      </c>
      <c r="C89" s="437">
        <f>886-389</f>
        <v>497</v>
      </c>
      <c r="D89" s="141"/>
      <c r="E89" s="141"/>
      <c r="F89" s="141"/>
      <c r="G89" s="141"/>
      <c r="H89" s="141"/>
      <c r="I89" s="141"/>
      <c r="J89" s="255">
        <f t="shared" si="7"/>
        <v>497</v>
      </c>
    </row>
    <row r="90" spans="1:10" ht="18.75" x14ac:dyDescent="0.25">
      <c r="A90" s="49" t="s">
        <v>644</v>
      </c>
      <c r="B90" s="437" t="s">
        <v>856</v>
      </c>
      <c r="C90" s="437">
        <f>410-151</f>
        <v>259</v>
      </c>
      <c r="D90" s="141"/>
      <c r="E90" s="141"/>
      <c r="F90" s="141"/>
      <c r="G90" s="141"/>
      <c r="H90" s="141"/>
      <c r="I90" s="141"/>
      <c r="J90" s="255">
        <f t="shared" si="7"/>
        <v>259</v>
      </c>
    </row>
    <row r="91" spans="1:10" ht="18.75" x14ac:dyDescent="0.25">
      <c r="A91" s="49" t="s">
        <v>645</v>
      </c>
      <c r="B91" s="437" t="s">
        <v>857</v>
      </c>
      <c r="C91" s="437">
        <v>971</v>
      </c>
      <c r="D91" s="141"/>
      <c r="E91" s="141"/>
      <c r="F91" s="141"/>
      <c r="G91" s="141"/>
      <c r="H91" s="141"/>
      <c r="I91" s="141"/>
      <c r="J91" s="255">
        <f t="shared" si="7"/>
        <v>971</v>
      </c>
    </row>
    <row r="92" spans="1:10" ht="37.5" x14ac:dyDescent="0.25">
      <c r="A92" s="49" t="s">
        <v>646</v>
      </c>
      <c r="B92" s="437" t="s">
        <v>858</v>
      </c>
      <c r="C92" s="437">
        <v>9478</v>
      </c>
      <c r="D92" s="141"/>
      <c r="E92" s="141"/>
      <c r="F92" s="141"/>
      <c r="G92" s="141"/>
      <c r="H92" s="141"/>
      <c r="I92" s="141"/>
      <c r="J92" s="255">
        <f t="shared" si="7"/>
        <v>9478</v>
      </c>
    </row>
    <row r="93" spans="1:10" ht="18.75" x14ac:dyDescent="0.25">
      <c r="A93" s="49" t="s">
        <v>647</v>
      </c>
      <c r="B93" s="437" t="s">
        <v>859</v>
      </c>
      <c r="C93" s="437">
        <f>632-457-150</f>
        <v>25</v>
      </c>
      <c r="D93" s="141"/>
      <c r="E93" s="141"/>
      <c r="F93" s="141"/>
      <c r="G93" s="141"/>
      <c r="H93" s="141"/>
      <c r="I93" s="141"/>
      <c r="J93" s="255">
        <f t="shared" si="7"/>
        <v>25</v>
      </c>
    </row>
    <row r="94" spans="1:10" ht="18.75" x14ac:dyDescent="0.25">
      <c r="A94" s="49" t="s">
        <v>648</v>
      </c>
      <c r="B94" s="437" t="s">
        <v>860</v>
      </c>
      <c r="C94" s="437">
        <f>551-404</f>
        <v>147</v>
      </c>
      <c r="D94" s="141"/>
      <c r="E94" s="141"/>
      <c r="F94" s="141"/>
      <c r="G94" s="141"/>
      <c r="H94" s="141"/>
      <c r="I94" s="141"/>
      <c r="J94" s="255">
        <f t="shared" si="7"/>
        <v>147</v>
      </c>
    </row>
    <row r="95" spans="1:10" ht="18.75" x14ac:dyDescent="0.25">
      <c r="A95" s="49" t="s">
        <v>649</v>
      </c>
      <c r="B95" s="437" t="s">
        <v>861</v>
      </c>
      <c r="C95" s="437">
        <v>727</v>
      </c>
      <c r="D95" s="141"/>
      <c r="E95" s="141"/>
      <c r="F95" s="141"/>
      <c r="G95" s="141"/>
      <c r="H95" s="141"/>
      <c r="I95" s="141"/>
      <c r="J95" s="255">
        <f t="shared" si="7"/>
        <v>727</v>
      </c>
    </row>
    <row r="96" spans="1:10" ht="18.75" x14ac:dyDescent="0.25">
      <c r="A96" s="49" t="s">
        <v>650</v>
      </c>
      <c r="B96" s="141" t="s">
        <v>870</v>
      </c>
      <c r="C96" s="437">
        <v>9587</v>
      </c>
      <c r="D96" s="141"/>
      <c r="E96" s="141"/>
      <c r="F96" s="141"/>
      <c r="G96" s="141"/>
      <c r="H96" s="141"/>
      <c r="I96" s="141"/>
      <c r="J96" s="255">
        <f t="shared" si="7"/>
        <v>9587</v>
      </c>
    </row>
    <row r="97" spans="1:10" ht="18.75" x14ac:dyDescent="0.25">
      <c r="A97" s="49" t="s">
        <v>651</v>
      </c>
      <c r="B97" s="141" t="s">
        <v>862</v>
      </c>
      <c r="C97" s="437">
        <v>9029</v>
      </c>
      <c r="D97" s="141"/>
      <c r="E97" s="141"/>
      <c r="F97" s="141"/>
      <c r="G97" s="141"/>
      <c r="H97" s="141"/>
      <c r="I97" s="141"/>
      <c r="J97" s="255">
        <f t="shared" si="7"/>
        <v>9029</v>
      </c>
    </row>
    <row r="98" spans="1:10" ht="18.75" x14ac:dyDescent="0.25">
      <c r="A98" s="49" t="s">
        <v>652</v>
      </c>
      <c r="B98" s="141" t="s">
        <v>863</v>
      </c>
      <c r="C98" s="437">
        <v>458</v>
      </c>
      <c r="D98" s="141"/>
      <c r="E98" s="141"/>
      <c r="F98" s="141"/>
      <c r="G98" s="141"/>
      <c r="H98" s="141"/>
      <c r="I98" s="141"/>
      <c r="J98" s="255">
        <f t="shared" si="7"/>
        <v>458</v>
      </c>
    </row>
    <row r="99" spans="1:10" ht="18.75" x14ac:dyDescent="0.25">
      <c r="A99" s="49" t="s">
        <v>653</v>
      </c>
      <c r="B99" s="141" t="s">
        <v>864</v>
      </c>
      <c r="C99" s="437">
        <v>1385</v>
      </c>
      <c r="D99" s="141"/>
      <c r="E99" s="141"/>
      <c r="F99" s="141"/>
      <c r="G99" s="141"/>
      <c r="H99" s="141"/>
      <c r="I99" s="141"/>
      <c r="J99" s="255">
        <f t="shared" si="7"/>
        <v>1385</v>
      </c>
    </row>
    <row r="100" spans="1:10" ht="18.75" x14ac:dyDescent="0.25">
      <c r="A100" s="49" t="s">
        <v>654</v>
      </c>
      <c r="B100" s="141" t="s">
        <v>865</v>
      </c>
      <c r="C100" s="437">
        <v>884</v>
      </c>
      <c r="D100" s="141"/>
      <c r="E100" s="141"/>
      <c r="F100" s="141"/>
      <c r="G100" s="141"/>
      <c r="H100" s="141"/>
      <c r="I100" s="141"/>
      <c r="J100" s="255">
        <f t="shared" si="7"/>
        <v>884</v>
      </c>
    </row>
    <row r="101" spans="1:10" ht="18.75" x14ac:dyDescent="0.25">
      <c r="A101" s="49" t="s">
        <v>655</v>
      </c>
      <c r="B101" s="141" t="s">
        <v>866</v>
      </c>
      <c r="C101" s="437">
        <v>156</v>
      </c>
      <c r="D101" s="141"/>
      <c r="E101" s="141"/>
      <c r="F101" s="141"/>
      <c r="G101" s="141"/>
      <c r="H101" s="141"/>
      <c r="I101" s="141"/>
      <c r="J101" s="255">
        <f t="shared" si="7"/>
        <v>156</v>
      </c>
    </row>
    <row r="102" spans="1:10" ht="18.75" x14ac:dyDescent="0.25">
      <c r="A102" s="49" t="s">
        <v>656</v>
      </c>
      <c r="B102" s="141" t="s">
        <v>867</v>
      </c>
      <c r="C102" s="437">
        <v>6013</v>
      </c>
      <c r="D102" s="141"/>
      <c r="E102" s="141"/>
      <c r="F102" s="141"/>
      <c r="G102" s="141"/>
      <c r="H102" s="141"/>
      <c r="I102" s="141"/>
      <c r="J102" s="255">
        <f t="shared" si="7"/>
        <v>6013</v>
      </c>
    </row>
    <row r="103" spans="1:10" ht="18.75" x14ac:dyDescent="0.25">
      <c r="A103" s="49" t="s">
        <v>657</v>
      </c>
      <c r="B103" s="141" t="s">
        <v>868</v>
      </c>
      <c r="C103" s="437">
        <v>945</v>
      </c>
      <c r="D103" s="141"/>
      <c r="E103" s="141"/>
      <c r="F103" s="141"/>
      <c r="G103" s="141"/>
      <c r="H103" s="141"/>
      <c r="I103" s="141"/>
      <c r="J103" s="255">
        <f t="shared" si="7"/>
        <v>945</v>
      </c>
    </row>
    <row r="104" spans="1:10" ht="18.75" x14ac:dyDescent="0.25">
      <c r="A104" s="49" t="s">
        <v>658</v>
      </c>
      <c r="B104" s="141" t="s">
        <v>871</v>
      </c>
      <c r="C104" s="437">
        <v>1165</v>
      </c>
      <c r="D104" s="141"/>
      <c r="E104" s="160"/>
      <c r="F104" s="160"/>
      <c r="G104" s="160"/>
      <c r="H104" s="160"/>
      <c r="I104" s="160"/>
      <c r="J104" s="257">
        <f t="shared" si="7"/>
        <v>1165</v>
      </c>
    </row>
    <row r="105" spans="1:10" ht="26.25" x14ac:dyDescent="0.25">
      <c r="A105" s="49" t="s">
        <v>659</v>
      </c>
      <c r="B105" s="68" t="s">
        <v>660</v>
      </c>
      <c r="C105" s="74">
        <f>SUM(C20,C41,C62,C84)</f>
        <v>77818</v>
      </c>
      <c r="D105" s="74">
        <f t="shared" ref="D105:I105" si="8">SUM(D20,D41,D62,D84)</f>
        <v>0</v>
      </c>
      <c r="E105" s="74">
        <f t="shared" si="8"/>
        <v>0</v>
      </c>
      <c r="F105" s="74">
        <f t="shared" si="8"/>
        <v>0</v>
      </c>
      <c r="G105" s="74">
        <f t="shared" si="8"/>
        <v>0</v>
      </c>
      <c r="H105" s="74">
        <f t="shared" si="8"/>
        <v>0</v>
      </c>
      <c r="I105" s="74">
        <f t="shared" si="8"/>
        <v>0</v>
      </c>
      <c r="J105" s="75">
        <f t="shared" si="7"/>
        <v>77818</v>
      </c>
    </row>
    <row r="107" spans="1:10" x14ac:dyDescent="0.25">
      <c r="B107" s="49" t="s">
        <v>661</v>
      </c>
    </row>
  </sheetData>
  <sheetProtection password="A01C" sheet="1"/>
  <pageMargins left="0.39370078740157483" right="0.27559055118110237" top="0.51181102362204722" bottom="0.47244094488188981" header="0.15748031496062992" footer="0.23622047244094491"/>
  <pageSetup paperSize="8" scale="28" fitToHeight="28" orientation="landscape" r:id="rId1"/>
  <headerFooter>
    <oddHeader>&amp;L&amp;14Piano di cassa dei flussi prospettici&amp;R&amp;14&amp;D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theme="9" tint="0.59999389629810485"/>
  </sheetPr>
  <dimension ref="B2:D14"/>
  <sheetViews>
    <sheetView showGridLines="0" zoomScale="90" zoomScaleNormal="90" workbookViewId="0">
      <pane ySplit="6" topLeftCell="A7" activePane="bottomLeft" state="frozen"/>
      <selection pane="bottomLeft" activeCell="D8" sqref="D8"/>
    </sheetView>
  </sheetViews>
  <sheetFormatPr defaultRowHeight="15" x14ac:dyDescent="0.25"/>
  <cols>
    <col min="3" max="3" width="74.85546875" customWidth="1"/>
    <col min="4" max="4" width="35.7109375" customWidth="1"/>
  </cols>
  <sheetData>
    <row r="2" spans="2:4" ht="15.75" x14ac:dyDescent="0.25">
      <c r="B2" s="397" t="s">
        <v>662</v>
      </c>
      <c r="C2" s="408"/>
      <c r="D2" s="408"/>
    </row>
    <row r="3" spans="2:4" x14ac:dyDescent="0.25">
      <c r="B3" s="342" t="s">
        <v>663</v>
      </c>
      <c r="C3" s="408"/>
      <c r="D3" s="408"/>
    </row>
    <row r="4" spans="2:4" x14ac:dyDescent="0.25">
      <c r="B4" s="342"/>
      <c r="C4" s="408"/>
      <c r="D4" s="408"/>
    </row>
    <row r="6" spans="2:4" x14ac:dyDescent="0.25">
      <c r="B6" s="416" t="s">
        <v>664</v>
      </c>
      <c r="C6" s="416" t="s">
        <v>665</v>
      </c>
      <c r="D6" s="416" t="s">
        <v>666</v>
      </c>
    </row>
    <row r="7" spans="2:4" ht="35.1" customHeight="1" x14ac:dyDescent="0.25">
      <c r="B7" s="417">
        <v>1</v>
      </c>
      <c r="C7" s="418" t="s">
        <v>667</v>
      </c>
      <c r="D7" s="419" t="str">
        <f>'Beni e servizi'!$O$31</f>
        <v>OK</v>
      </c>
    </row>
    <row r="8" spans="2:4" ht="35.1" customHeight="1" x14ac:dyDescent="0.25">
      <c r="B8" s="417">
        <v>2</v>
      </c>
      <c r="C8" s="418" t="s">
        <v>668</v>
      </c>
      <c r="D8" s="419" t="str">
        <f>'Beni e servizi'!$J$12</f>
        <v>OK</v>
      </c>
    </row>
    <row r="9" spans="2:4" ht="35.1" customHeight="1" x14ac:dyDescent="0.25">
      <c r="B9" s="417">
        <v>3</v>
      </c>
      <c r="C9" s="418" t="s">
        <v>669</v>
      </c>
      <c r="D9" s="419" t="str">
        <f>'Beni e servizi'!$J$20</f>
        <v>OK</v>
      </c>
    </row>
    <row r="10" spans="2:4" ht="35.1" customHeight="1" x14ac:dyDescent="0.25">
      <c r="B10" s="417">
        <v>4</v>
      </c>
      <c r="C10" s="418" t="s">
        <v>670</v>
      </c>
      <c r="D10" s="419" t="str">
        <f>'Beni e servizi'!$O$19</f>
        <v>OK</v>
      </c>
    </row>
    <row r="11" spans="2:4" ht="35.1" customHeight="1" x14ac:dyDescent="0.25">
      <c r="B11" s="417">
        <v>5</v>
      </c>
      <c r="C11" s="418" t="s">
        <v>671</v>
      </c>
      <c r="D11" s="419" t="str">
        <f>'Beni e servizi'!$O$20</f>
        <v>OK</v>
      </c>
    </row>
    <row r="12" spans="2:4" ht="28.9" customHeight="1" x14ac:dyDescent="0.25">
      <c r="B12" s="417" t="s">
        <v>672</v>
      </c>
      <c r="C12" s="424" t="s">
        <v>673</v>
      </c>
      <c r="D12" s="420" t="str">
        <f>'Beni e servizi'!$J$7</f>
        <v>Lo split payment è stato indicato</v>
      </c>
    </row>
    <row r="13" spans="2:4" ht="28.9" customHeight="1" x14ac:dyDescent="0.25">
      <c r="B13" s="11"/>
      <c r="C13" s="398"/>
      <c r="D13" s="408"/>
    </row>
    <row r="14" spans="2:4" ht="28.9" customHeight="1" x14ac:dyDescent="0.25">
      <c r="B14" s="11"/>
      <c r="C14" s="398"/>
      <c r="D14" s="408"/>
    </row>
  </sheetData>
  <sheetProtection password="A01C" sheet="1"/>
  <conditionalFormatting sqref="D7:D12">
    <cfRule type="cellIs" dxfId="7" priority="11" stopIfTrue="1" operator="equal">
      <formula>"OK"</formula>
    </cfRule>
    <cfRule type="cellIs" dxfId="6" priority="12" stopIfTrue="1" operator="notEqual">
      <formula>"OK"</formula>
    </cfRule>
  </conditionalFormatting>
  <conditionalFormatting sqref="D12">
    <cfRule type="cellIs" dxfId="5" priority="5" stopIfTrue="1" operator="equal">
      <formula>"OK"</formula>
    </cfRule>
    <cfRule type="expression" dxfId="4" priority="6" stopIfTrue="1">
      <formula>SEARCH("non",D12)&gt;0</formula>
    </cfRule>
  </conditionalFormatting>
  <conditionalFormatting sqref="D12">
    <cfRule type="cellIs" dxfId="3" priority="3" stopIfTrue="1" operator="equal">
      <formula>"OK"</formula>
    </cfRule>
    <cfRule type="expression" dxfId="2" priority="4" stopIfTrue="1">
      <formula>SEARCH("non",D12)&gt;0</formula>
    </cfRule>
  </conditionalFormatting>
  <conditionalFormatting sqref="D12">
    <cfRule type="expression" dxfId="1" priority="1" stopIfTrue="1">
      <formula>SEARCH("non",D12)&gt;0</formula>
    </cfRule>
    <cfRule type="expression" dxfId="0" priority="2" stopIfTrue="1">
      <formula>ISERROR(SEARCH("non",D12))</formula>
    </cfRule>
  </conditionalFormatting>
  <pageMargins left="0.7" right="0.7" top="0.75" bottom="0.75" header="0.3" footer="0.3"/>
  <pageSetup paperSize="9" orientation="portrait" r:id="rId1"/>
  <colBreaks count="1" manualBreakCount="1">
    <brk id="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D4"/>
  <sheetViews>
    <sheetView workbookViewId="0">
      <selection sqref="A1:E4"/>
    </sheetView>
  </sheetViews>
  <sheetFormatPr defaultRowHeight="15" x14ac:dyDescent="0.25"/>
  <sheetData>
    <row r="1" spans="1:4" x14ac:dyDescent="0.25">
      <c r="A1" s="273" t="s">
        <v>674</v>
      </c>
      <c r="B1" s="273" t="s">
        <v>675</v>
      </c>
      <c r="C1" s="273" t="s">
        <v>676</v>
      </c>
      <c r="D1" s="273" t="s">
        <v>13</v>
      </c>
    </row>
    <row r="2" spans="1:4" x14ac:dyDescent="0.25">
      <c r="A2" s="273" t="s">
        <v>677</v>
      </c>
      <c r="B2" s="273" t="s">
        <v>19</v>
      </c>
      <c r="C2" s="273" t="s">
        <v>19</v>
      </c>
      <c r="D2" s="273" t="s">
        <v>678</v>
      </c>
    </row>
    <row r="3" spans="1:4" x14ac:dyDescent="0.25">
      <c r="A3" s="273"/>
      <c r="B3" s="273"/>
      <c r="C3" s="273"/>
      <c r="D3" s="273"/>
    </row>
    <row r="4" spans="1:4" x14ac:dyDescent="0.25">
      <c r="A4" s="273"/>
      <c r="B4" s="273"/>
      <c r="C4" s="273"/>
      <c r="D4" s="273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I25"/>
  <sheetViews>
    <sheetView workbookViewId="0">
      <selection activeCell="L23" sqref="L23"/>
    </sheetView>
  </sheetViews>
  <sheetFormatPr defaultRowHeight="15" x14ac:dyDescent="0.25"/>
  <sheetData>
    <row r="1" spans="1:9" ht="30" x14ac:dyDescent="0.25">
      <c r="A1" s="273" t="s">
        <v>679</v>
      </c>
      <c r="B1" s="273" t="s">
        <v>680</v>
      </c>
      <c r="C1" s="273" t="s">
        <v>681</v>
      </c>
      <c r="D1" s="273" t="s">
        <v>674</v>
      </c>
      <c r="E1" s="273" t="s">
        <v>682</v>
      </c>
      <c r="F1" s="273" t="s">
        <v>683</v>
      </c>
      <c r="G1" s="273" t="s">
        <v>684</v>
      </c>
      <c r="H1" s="273" t="s">
        <v>685</v>
      </c>
      <c r="I1" s="434" t="s">
        <v>686</v>
      </c>
    </row>
    <row r="2" spans="1:9" x14ac:dyDescent="0.25">
      <c r="A2" s="273" t="s">
        <v>687</v>
      </c>
      <c r="B2" s="273" t="s">
        <v>688</v>
      </c>
      <c r="C2" s="273" t="s">
        <v>19</v>
      </c>
      <c r="D2" s="273" t="s">
        <v>250</v>
      </c>
      <c r="E2" s="273">
        <v>35786</v>
      </c>
      <c r="F2" s="273">
        <v>35786</v>
      </c>
      <c r="G2" s="273">
        <v>0</v>
      </c>
      <c r="H2" s="434">
        <v>0</v>
      </c>
      <c r="I2" s="434" t="s">
        <v>3</v>
      </c>
    </row>
    <row r="3" spans="1:9" x14ac:dyDescent="0.25">
      <c r="A3" s="273" t="s">
        <v>689</v>
      </c>
      <c r="B3" s="273" t="s">
        <v>688</v>
      </c>
      <c r="C3" s="273" t="s">
        <v>19</v>
      </c>
      <c r="D3" s="273" t="s">
        <v>273</v>
      </c>
      <c r="E3" s="273">
        <v>1793</v>
      </c>
      <c r="F3" s="273">
        <v>1793</v>
      </c>
      <c r="G3" s="273">
        <v>0</v>
      </c>
      <c r="H3" s="434">
        <v>0</v>
      </c>
      <c r="I3" s="434" t="s">
        <v>3</v>
      </c>
    </row>
    <row r="4" spans="1:9" x14ac:dyDescent="0.25">
      <c r="A4" s="273" t="s">
        <v>690</v>
      </c>
      <c r="B4" s="273" t="s">
        <v>688</v>
      </c>
      <c r="C4" s="273" t="s">
        <v>19</v>
      </c>
      <c r="D4" s="273" t="s">
        <v>275</v>
      </c>
      <c r="E4" s="273">
        <v>0</v>
      </c>
      <c r="F4" s="273">
        <v>0</v>
      </c>
      <c r="G4" s="273">
        <v>0</v>
      </c>
      <c r="H4" s="434">
        <v>0</v>
      </c>
      <c r="I4" s="434" t="s">
        <v>3</v>
      </c>
    </row>
    <row r="5" spans="1:9" x14ac:dyDescent="0.25">
      <c r="A5" s="273" t="s">
        <v>691</v>
      </c>
      <c r="B5" s="273" t="s">
        <v>688</v>
      </c>
      <c r="C5" s="273" t="s">
        <v>19</v>
      </c>
      <c r="D5" s="273" t="s">
        <v>277</v>
      </c>
      <c r="E5" s="273">
        <v>0</v>
      </c>
      <c r="F5" s="273">
        <v>0</v>
      </c>
      <c r="G5" s="273">
        <v>0</v>
      </c>
      <c r="H5" s="434">
        <v>0</v>
      </c>
      <c r="I5" s="434" t="s">
        <v>3</v>
      </c>
    </row>
    <row r="6" spans="1:9" x14ac:dyDescent="0.25">
      <c r="A6" s="273" t="s">
        <v>692</v>
      </c>
      <c r="B6" s="273" t="s">
        <v>688</v>
      </c>
      <c r="C6" s="273" t="s">
        <v>19</v>
      </c>
      <c r="D6" s="273" t="s">
        <v>279</v>
      </c>
      <c r="E6" s="273">
        <v>0</v>
      </c>
      <c r="F6" s="273">
        <v>0</v>
      </c>
      <c r="G6" s="273">
        <v>0</v>
      </c>
      <c r="H6" s="434">
        <v>0</v>
      </c>
      <c r="I6" s="434" t="s">
        <v>3</v>
      </c>
    </row>
    <row r="7" spans="1:9" x14ac:dyDescent="0.25">
      <c r="A7" s="273" t="s">
        <v>693</v>
      </c>
      <c r="B7" s="273" t="s">
        <v>688</v>
      </c>
      <c r="C7" s="273" t="s">
        <v>19</v>
      </c>
      <c r="D7" s="273" t="s">
        <v>281</v>
      </c>
      <c r="E7" s="273">
        <v>3916</v>
      </c>
      <c r="F7" s="273">
        <v>3916</v>
      </c>
      <c r="G7" s="273">
        <v>0</v>
      </c>
      <c r="H7" s="434">
        <v>0</v>
      </c>
      <c r="I7" s="434" t="s">
        <v>3</v>
      </c>
    </row>
    <row r="8" spans="1:9" x14ac:dyDescent="0.25">
      <c r="A8" s="273" t="s">
        <v>694</v>
      </c>
      <c r="B8" s="273" t="s">
        <v>688</v>
      </c>
      <c r="C8" s="273" t="s">
        <v>19</v>
      </c>
      <c r="D8" s="273" t="s">
        <v>283</v>
      </c>
      <c r="E8" s="273">
        <v>0</v>
      </c>
      <c r="F8" s="273">
        <v>0</v>
      </c>
      <c r="G8" s="273">
        <v>0</v>
      </c>
      <c r="H8" s="434">
        <v>0</v>
      </c>
      <c r="I8" s="434" t="s">
        <v>3</v>
      </c>
    </row>
    <row r="9" spans="1:9" x14ac:dyDescent="0.25">
      <c r="A9" s="273" t="s">
        <v>695</v>
      </c>
      <c r="B9" s="273" t="s">
        <v>688</v>
      </c>
      <c r="C9" s="273" t="s">
        <v>19</v>
      </c>
      <c r="D9" s="273" t="s">
        <v>286</v>
      </c>
      <c r="E9" s="273">
        <v>0</v>
      </c>
      <c r="F9" s="273">
        <v>0</v>
      </c>
      <c r="G9" s="273">
        <v>0</v>
      </c>
      <c r="H9" s="434">
        <v>0</v>
      </c>
      <c r="I9" s="434" t="s">
        <v>3</v>
      </c>
    </row>
    <row r="10" spans="1:9" x14ac:dyDescent="0.25">
      <c r="A10" s="273" t="s">
        <v>696</v>
      </c>
      <c r="B10" s="273" t="s">
        <v>688</v>
      </c>
      <c r="C10" s="273" t="s">
        <v>19</v>
      </c>
      <c r="D10" s="273" t="s">
        <v>289</v>
      </c>
      <c r="E10" s="273">
        <v>94500</v>
      </c>
      <c r="F10" s="273">
        <v>94500</v>
      </c>
      <c r="G10" s="273">
        <v>0</v>
      </c>
      <c r="H10" s="434">
        <v>0</v>
      </c>
      <c r="I10" s="434" t="s">
        <v>3</v>
      </c>
    </row>
    <row r="11" spans="1:9" x14ac:dyDescent="0.25">
      <c r="A11" s="273" t="s">
        <v>697</v>
      </c>
      <c r="B11" s="273" t="s">
        <v>688</v>
      </c>
      <c r="C11" s="273" t="s">
        <v>19</v>
      </c>
      <c r="D11" s="273" t="s">
        <v>290</v>
      </c>
      <c r="E11" s="273">
        <v>0</v>
      </c>
      <c r="F11" s="273">
        <v>0</v>
      </c>
      <c r="G11" s="273">
        <v>0</v>
      </c>
      <c r="H11" s="434">
        <v>0</v>
      </c>
      <c r="I11" s="434" t="s">
        <v>3</v>
      </c>
    </row>
    <row r="12" spans="1:9" x14ac:dyDescent="0.25">
      <c r="A12" s="273" t="s">
        <v>698</v>
      </c>
      <c r="B12" s="273" t="s">
        <v>688</v>
      </c>
      <c r="C12" s="273" t="s">
        <v>19</v>
      </c>
      <c r="D12" s="273" t="s">
        <v>294</v>
      </c>
      <c r="E12" s="273">
        <v>0</v>
      </c>
      <c r="F12" s="273">
        <v>0</v>
      </c>
      <c r="G12" s="273">
        <v>0</v>
      </c>
      <c r="H12" s="434">
        <v>0</v>
      </c>
      <c r="I12" s="434" t="s">
        <v>3</v>
      </c>
    </row>
    <row r="13" spans="1:9" x14ac:dyDescent="0.25">
      <c r="A13" s="273" t="s">
        <v>699</v>
      </c>
      <c r="B13" s="273" t="s">
        <v>688</v>
      </c>
      <c r="C13" s="273" t="s">
        <v>19</v>
      </c>
      <c r="D13" s="273" t="s">
        <v>254</v>
      </c>
      <c r="E13" s="273">
        <v>26486</v>
      </c>
      <c r="F13" s="273">
        <v>26486</v>
      </c>
      <c r="G13" s="273">
        <v>0</v>
      </c>
      <c r="H13" s="434">
        <v>0</v>
      </c>
      <c r="I13" s="434" t="s">
        <v>3</v>
      </c>
    </row>
    <row r="14" spans="1:9" x14ac:dyDescent="0.25">
      <c r="A14" s="273" t="s">
        <v>700</v>
      </c>
      <c r="B14" s="273" t="s">
        <v>688</v>
      </c>
      <c r="C14" s="273" t="s">
        <v>19</v>
      </c>
      <c r="D14" s="273" t="s">
        <v>296</v>
      </c>
      <c r="E14" s="273">
        <v>0</v>
      </c>
      <c r="F14" s="273">
        <v>0</v>
      </c>
      <c r="G14" s="273">
        <v>0</v>
      </c>
      <c r="H14" s="434">
        <v>0</v>
      </c>
      <c r="I14" s="434" t="s">
        <v>3</v>
      </c>
    </row>
    <row r="15" spans="1:9" x14ac:dyDescent="0.25">
      <c r="A15" s="273" t="s">
        <v>701</v>
      </c>
      <c r="B15" s="273" t="s">
        <v>688</v>
      </c>
      <c r="C15" s="273" t="s">
        <v>19</v>
      </c>
      <c r="D15" s="273" t="s">
        <v>298</v>
      </c>
      <c r="E15" s="273">
        <v>0</v>
      </c>
      <c r="F15" s="273">
        <v>0</v>
      </c>
      <c r="G15" s="273">
        <v>0</v>
      </c>
      <c r="H15" s="434">
        <v>0</v>
      </c>
      <c r="I15" s="434" t="s">
        <v>3</v>
      </c>
    </row>
    <row r="16" spans="1:9" x14ac:dyDescent="0.25">
      <c r="A16" s="273" t="s">
        <v>702</v>
      </c>
      <c r="B16" s="273" t="s">
        <v>688</v>
      </c>
      <c r="C16" s="273" t="s">
        <v>19</v>
      </c>
      <c r="D16" s="273" t="s">
        <v>299</v>
      </c>
      <c r="E16" s="273">
        <v>0</v>
      </c>
      <c r="F16" s="273">
        <v>0</v>
      </c>
      <c r="G16" s="273">
        <v>0</v>
      </c>
      <c r="H16" s="434">
        <v>0</v>
      </c>
      <c r="I16" s="434" t="s">
        <v>3</v>
      </c>
    </row>
    <row r="17" spans="1:9" x14ac:dyDescent="0.25">
      <c r="A17" s="273" t="s">
        <v>703</v>
      </c>
      <c r="B17" s="273" t="s">
        <v>688</v>
      </c>
      <c r="C17" s="273" t="s">
        <v>19</v>
      </c>
      <c r="D17" s="273" t="s">
        <v>303</v>
      </c>
      <c r="E17" s="273">
        <v>0</v>
      </c>
      <c r="F17" s="273">
        <v>0</v>
      </c>
      <c r="G17" s="273">
        <v>0</v>
      </c>
      <c r="H17" s="434">
        <v>0</v>
      </c>
      <c r="I17" s="434" t="s">
        <v>3</v>
      </c>
    </row>
    <row r="18" spans="1:9" x14ac:dyDescent="0.25">
      <c r="A18" s="273" t="s">
        <v>704</v>
      </c>
      <c r="B18" s="273" t="s">
        <v>688</v>
      </c>
      <c r="C18" s="273" t="s">
        <v>19</v>
      </c>
      <c r="D18" s="273" t="s">
        <v>258</v>
      </c>
      <c r="E18" s="273">
        <v>32228</v>
      </c>
      <c r="F18" s="273">
        <v>32228</v>
      </c>
      <c r="G18" s="273">
        <v>0</v>
      </c>
      <c r="H18" s="434">
        <v>0</v>
      </c>
      <c r="I18" s="434" t="s">
        <v>3</v>
      </c>
    </row>
    <row r="19" spans="1:9" x14ac:dyDescent="0.25">
      <c r="A19" s="273" t="s">
        <v>705</v>
      </c>
      <c r="B19" s="273" t="s">
        <v>688</v>
      </c>
      <c r="C19" s="273" t="s">
        <v>19</v>
      </c>
      <c r="D19" s="273" t="s">
        <v>305</v>
      </c>
      <c r="E19" s="273">
        <v>0</v>
      </c>
      <c r="F19" s="273">
        <v>0</v>
      </c>
      <c r="G19" s="273">
        <v>0</v>
      </c>
      <c r="H19" s="434">
        <v>0</v>
      </c>
      <c r="I19" s="434" t="s">
        <v>3</v>
      </c>
    </row>
    <row r="20" spans="1:9" x14ac:dyDescent="0.25">
      <c r="A20" s="273" t="s">
        <v>706</v>
      </c>
      <c r="B20" s="273" t="s">
        <v>688</v>
      </c>
      <c r="C20" s="273" t="s">
        <v>19</v>
      </c>
      <c r="D20" s="273" t="s">
        <v>259</v>
      </c>
      <c r="E20" s="273">
        <v>8540</v>
      </c>
      <c r="F20" s="273">
        <v>8540</v>
      </c>
      <c r="G20" s="273">
        <v>0</v>
      </c>
      <c r="H20" s="434">
        <v>0</v>
      </c>
      <c r="I20" s="434" t="s">
        <v>3</v>
      </c>
    </row>
    <row r="21" spans="1:9" x14ac:dyDescent="0.25">
      <c r="A21" s="273" t="s">
        <v>707</v>
      </c>
      <c r="B21" s="273" t="s">
        <v>688</v>
      </c>
      <c r="C21" s="273" t="s">
        <v>19</v>
      </c>
      <c r="D21" s="273" t="s">
        <v>263</v>
      </c>
      <c r="E21" s="273">
        <v>1916</v>
      </c>
      <c r="F21" s="273">
        <v>1916</v>
      </c>
      <c r="G21" s="273">
        <v>0</v>
      </c>
      <c r="H21" s="434">
        <v>0</v>
      </c>
      <c r="I21" s="434" t="s">
        <v>3</v>
      </c>
    </row>
    <row r="22" spans="1:9" x14ac:dyDescent="0.25">
      <c r="A22" s="273" t="s">
        <v>708</v>
      </c>
      <c r="B22" s="273" t="s">
        <v>688</v>
      </c>
      <c r="C22" s="273" t="s">
        <v>19</v>
      </c>
      <c r="D22" s="273" t="s">
        <v>265</v>
      </c>
      <c r="E22" s="273">
        <v>11879</v>
      </c>
      <c r="F22" s="273">
        <v>11879</v>
      </c>
      <c r="G22" s="273">
        <v>0</v>
      </c>
      <c r="H22" s="434">
        <v>0</v>
      </c>
      <c r="I22" s="434" t="s">
        <v>3</v>
      </c>
    </row>
    <row r="23" spans="1:9" x14ac:dyDescent="0.25">
      <c r="A23" s="273" t="s">
        <v>709</v>
      </c>
      <c r="B23" s="273" t="s">
        <v>688</v>
      </c>
      <c r="C23" s="273" t="s">
        <v>19</v>
      </c>
      <c r="D23" s="273" t="s">
        <v>267</v>
      </c>
      <c r="E23" s="273">
        <v>394</v>
      </c>
      <c r="F23" s="273">
        <v>394</v>
      </c>
      <c r="G23" s="273">
        <v>0</v>
      </c>
      <c r="H23" s="434">
        <v>0</v>
      </c>
      <c r="I23" s="434" t="s">
        <v>3</v>
      </c>
    </row>
    <row r="24" spans="1:9" x14ac:dyDescent="0.25">
      <c r="A24" s="273" t="s">
        <v>710</v>
      </c>
      <c r="B24" s="273" t="s">
        <v>688</v>
      </c>
      <c r="C24" s="273" t="s">
        <v>19</v>
      </c>
      <c r="D24" s="273" t="s">
        <v>269</v>
      </c>
      <c r="E24" s="273">
        <v>3790</v>
      </c>
      <c r="F24" s="273">
        <v>3790</v>
      </c>
      <c r="G24" s="273">
        <v>0</v>
      </c>
      <c r="H24" s="434">
        <v>0</v>
      </c>
      <c r="I24" s="434" t="s">
        <v>3</v>
      </c>
    </row>
    <row r="25" spans="1:9" x14ac:dyDescent="0.25">
      <c r="A25" s="273" t="s">
        <v>711</v>
      </c>
      <c r="B25" s="273" t="s">
        <v>688</v>
      </c>
      <c r="C25" s="273" t="s">
        <v>19</v>
      </c>
      <c r="D25" s="273" t="s">
        <v>271</v>
      </c>
      <c r="E25" s="273">
        <v>0</v>
      </c>
      <c r="F25" s="273">
        <v>0</v>
      </c>
      <c r="G25" s="273">
        <v>0</v>
      </c>
      <c r="H25" s="434">
        <v>0</v>
      </c>
      <c r="I25" s="434" t="s">
        <v>3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J61"/>
  <sheetViews>
    <sheetView workbookViewId="0">
      <selection activeCell="C10" sqref="C10"/>
    </sheetView>
  </sheetViews>
  <sheetFormatPr defaultRowHeight="15" x14ac:dyDescent="0.25"/>
  <sheetData>
    <row r="1" spans="1:10" ht="30" x14ac:dyDescent="0.25">
      <c r="A1" s="251" t="s">
        <v>679</v>
      </c>
      <c r="B1" s="251" t="s">
        <v>681</v>
      </c>
      <c r="C1" s="251" t="s">
        <v>674</v>
      </c>
      <c r="D1" s="251" t="s">
        <v>682</v>
      </c>
      <c r="E1" s="251" t="s">
        <v>683</v>
      </c>
      <c r="F1" s="251" t="s">
        <v>684</v>
      </c>
      <c r="G1" s="251" t="s">
        <v>685</v>
      </c>
      <c r="H1" s="251" t="s">
        <v>712</v>
      </c>
      <c r="I1" s="251" t="s">
        <v>713</v>
      </c>
      <c r="J1" s="434" t="s">
        <v>686</v>
      </c>
    </row>
    <row r="2" spans="1:10" x14ac:dyDescent="0.25">
      <c r="A2" s="251" t="s">
        <v>714</v>
      </c>
      <c r="B2" s="251" t="s">
        <v>19</v>
      </c>
      <c r="C2" s="251" t="s">
        <v>715</v>
      </c>
      <c r="D2" s="251">
        <v>94499.995818840442</v>
      </c>
      <c r="E2" s="251">
        <v>0</v>
      </c>
      <c r="F2" s="251">
        <v>94499.995818840442</v>
      </c>
      <c r="G2" s="251">
        <v>0</v>
      </c>
      <c r="H2" s="251">
        <v>94499.995818840442</v>
      </c>
      <c r="I2" s="251">
        <v>0</v>
      </c>
      <c r="J2" s="434" t="s">
        <v>3</v>
      </c>
    </row>
    <row r="3" spans="1:10" x14ac:dyDescent="0.25">
      <c r="A3" s="251" t="s">
        <v>716</v>
      </c>
      <c r="B3" s="251" t="s">
        <v>19</v>
      </c>
      <c r="C3" s="251" t="s">
        <v>717</v>
      </c>
      <c r="D3" s="251">
        <v>35785.795495769125</v>
      </c>
      <c r="E3" s="251">
        <v>0</v>
      </c>
      <c r="F3" s="251">
        <v>35785.795495769125</v>
      </c>
      <c r="G3" s="251">
        <v>0</v>
      </c>
      <c r="H3" s="251">
        <v>35785.795495769125</v>
      </c>
      <c r="I3" s="251">
        <v>0</v>
      </c>
      <c r="J3" s="434" t="s">
        <v>3</v>
      </c>
    </row>
    <row r="4" spans="1:10" x14ac:dyDescent="0.25">
      <c r="A4" s="251" t="s">
        <v>718</v>
      </c>
      <c r="B4" s="251" t="s">
        <v>19</v>
      </c>
      <c r="C4" s="251" t="s">
        <v>719</v>
      </c>
      <c r="D4" s="251">
        <v>26486</v>
      </c>
      <c r="E4" s="251">
        <v>0</v>
      </c>
      <c r="F4" s="251">
        <v>26486</v>
      </c>
      <c r="G4" s="251">
        <v>0</v>
      </c>
      <c r="H4" s="251">
        <v>26486</v>
      </c>
      <c r="I4" s="251">
        <v>0</v>
      </c>
      <c r="J4" s="434" t="s">
        <v>3</v>
      </c>
    </row>
    <row r="5" spans="1:10" x14ac:dyDescent="0.25">
      <c r="A5" s="251" t="s">
        <v>720</v>
      </c>
      <c r="B5" s="251" t="s">
        <v>19</v>
      </c>
      <c r="C5" s="251" t="s">
        <v>721</v>
      </c>
      <c r="D5" s="251">
        <v>32228.200323071313</v>
      </c>
      <c r="E5" s="251">
        <v>0</v>
      </c>
      <c r="F5" s="251">
        <v>32228.200323071313</v>
      </c>
      <c r="G5" s="251">
        <v>0</v>
      </c>
      <c r="H5" s="251">
        <v>32228.200323071313</v>
      </c>
      <c r="I5" s="251">
        <v>0</v>
      </c>
      <c r="J5" s="434" t="s">
        <v>3</v>
      </c>
    </row>
    <row r="6" spans="1:10" x14ac:dyDescent="0.25">
      <c r="A6" s="251" t="s">
        <v>722</v>
      </c>
      <c r="B6" s="251" t="s">
        <v>19</v>
      </c>
      <c r="C6" s="251" t="s">
        <v>723</v>
      </c>
      <c r="D6" s="251">
        <v>0</v>
      </c>
      <c r="E6" s="251">
        <v>0</v>
      </c>
      <c r="F6" s="251">
        <v>0</v>
      </c>
      <c r="G6" s="251">
        <v>0</v>
      </c>
      <c r="H6" s="251">
        <v>0</v>
      </c>
      <c r="I6" s="251">
        <v>0</v>
      </c>
      <c r="J6" s="434" t="s">
        <v>3</v>
      </c>
    </row>
    <row r="7" spans="1:10" x14ac:dyDescent="0.25">
      <c r="A7" s="251" t="s">
        <v>724</v>
      </c>
      <c r="B7" s="251" t="s">
        <v>19</v>
      </c>
      <c r="C7" s="251" t="s">
        <v>725</v>
      </c>
      <c r="D7" s="251">
        <v>0</v>
      </c>
      <c r="E7" s="251">
        <v>0</v>
      </c>
      <c r="F7" s="251">
        <v>0</v>
      </c>
      <c r="G7" s="251">
        <v>0</v>
      </c>
      <c r="H7" s="251">
        <v>0</v>
      </c>
      <c r="I7" s="251">
        <v>0</v>
      </c>
      <c r="J7" s="434" t="s">
        <v>3</v>
      </c>
    </row>
    <row r="8" spans="1:10" x14ac:dyDescent="0.25">
      <c r="A8" s="251" t="s">
        <v>726</v>
      </c>
      <c r="B8" s="251" t="s">
        <v>19</v>
      </c>
      <c r="C8" s="251" t="s">
        <v>727</v>
      </c>
      <c r="D8" s="251">
        <v>0</v>
      </c>
      <c r="E8" s="251">
        <v>0</v>
      </c>
      <c r="F8" s="251">
        <v>0</v>
      </c>
      <c r="G8" s="251">
        <v>0</v>
      </c>
      <c r="H8" s="251">
        <v>0</v>
      </c>
      <c r="I8" s="251">
        <v>0</v>
      </c>
      <c r="J8" s="434" t="s">
        <v>3</v>
      </c>
    </row>
    <row r="9" spans="1:10" x14ac:dyDescent="0.25">
      <c r="A9" s="251" t="s">
        <v>728</v>
      </c>
      <c r="B9" s="251" t="s">
        <v>19</v>
      </c>
      <c r="C9" s="251" t="s">
        <v>729</v>
      </c>
      <c r="D9" s="251">
        <v>0</v>
      </c>
      <c r="E9" s="251">
        <v>0</v>
      </c>
      <c r="F9" s="251">
        <v>0</v>
      </c>
      <c r="G9" s="251">
        <v>1226</v>
      </c>
      <c r="H9" s="251">
        <v>1226</v>
      </c>
      <c r="I9" s="251">
        <v>0</v>
      </c>
      <c r="J9" s="434" t="s">
        <v>3</v>
      </c>
    </row>
    <row r="10" spans="1:10" x14ac:dyDescent="0.25">
      <c r="A10" s="251" t="s">
        <v>730</v>
      </c>
      <c r="B10" s="251" t="s">
        <v>19</v>
      </c>
      <c r="C10" s="251" t="s">
        <v>731</v>
      </c>
      <c r="D10" s="251">
        <v>8694</v>
      </c>
      <c r="E10" s="251">
        <v>0</v>
      </c>
      <c r="F10" s="251">
        <v>8694</v>
      </c>
      <c r="G10" s="251">
        <v>0</v>
      </c>
      <c r="H10" s="251">
        <v>8694</v>
      </c>
      <c r="I10" s="251">
        <v>0</v>
      </c>
      <c r="J10" s="434" t="s">
        <v>3</v>
      </c>
    </row>
    <row r="11" spans="1:10" x14ac:dyDescent="0.25">
      <c r="A11" s="251" t="s">
        <v>732</v>
      </c>
      <c r="B11" s="251" t="s">
        <v>19</v>
      </c>
      <c r="C11" s="251" t="s">
        <v>733</v>
      </c>
      <c r="D11" s="251">
        <v>0</v>
      </c>
      <c r="E11" s="251">
        <v>0</v>
      </c>
      <c r="F11" s="251">
        <v>0</v>
      </c>
      <c r="G11" s="251">
        <v>0</v>
      </c>
      <c r="H11" s="251">
        <v>0</v>
      </c>
      <c r="I11" s="251">
        <v>0</v>
      </c>
      <c r="J11" s="434" t="s">
        <v>3</v>
      </c>
    </row>
    <row r="12" spans="1:10" x14ac:dyDescent="0.25">
      <c r="A12" s="251" t="s">
        <v>734</v>
      </c>
      <c r="B12" s="251" t="s">
        <v>19</v>
      </c>
      <c r="C12" s="251" t="s">
        <v>735</v>
      </c>
      <c r="D12" s="251">
        <v>0</v>
      </c>
      <c r="E12" s="251">
        <v>0</v>
      </c>
      <c r="F12" s="251">
        <v>0</v>
      </c>
      <c r="G12" s="251">
        <v>0</v>
      </c>
      <c r="H12" s="251">
        <v>0</v>
      </c>
      <c r="I12" s="251">
        <v>0</v>
      </c>
      <c r="J12" s="434" t="s">
        <v>3</v>
      </c>
    </row>
    <row r="13" spans="1:10" x14ac:dyDescent="0.25">
      <c r="A13" s="251" t="s">
        <v>736</v>
      </c>
      <c r="B13" s="251" t="s">
        <v>19</v>
      </c>
      <c r="C13" s="251" t="s">
        <v>737</v>
      </c>
      <c r="D13" s="251">
        <v>145456.9</v>
      </c>
      <c r="E13" s="251">
        <v>0</v>
      </c>
      <c r="F13" s="251">
        <v>145456.9</v>
      </c>
      <c r="G13" s="251">
        <v>0</v>
      </c>
      <c r="H13" s="251">
        <v>145456.9</v>
      </c>
      <c r="I13" s="251">
        <v>0</v>
      </c>
      <c r="J13" s="434" t="s">
        <v>3</v>
      </c>
    </row>
    <row r="14" spans="1:10" x14ac:dyDescent="0.25">
      <c r="A14" s="251" t="s">
        <v>738</v>
      </c>
      <c r="B14" s="251" t="s">
        <v>19</v>
      </c>
      <c r="C14" s="251" t="s">
        <v>739</v>
      </c>
      <c r="D14" s="251">
        <v>125290.2</v>
      </c>
      <c r="E14" s="251">
        <v>0</v>
      </c>
      <c r="F14" s="251">
        <v>125290.2</v>
      </c>
      <c r="G14" s="251">
        <v>0</v>
      </c>
      <c r="H14" s="251">
        <v>125290.2</v>
      </c>
      <c r="I14" s="251">
        <v>0</v>
      </c>
      <c r="J14" s="434" t="s">
        <v>3</v>
      </c>
    </row>
    <row r="15" spans="1:10" x14ac:dyDescent="0.25">
      <c r="A15" s="251" t="s">
        <v>740</v>
      </c>
      <c r="B15" s="251" t="s">
        <v>19</v>
      </c>
      <c r="C15" s="251" t="s">
        <v>741</v>
      </c>
      <c r="D15" s="251">
        <v>13395.2</v>
      </c>
      <c r="E15" s="251">
        <v>0</v>
      </c>
      <c r="F15" s="251">
        <v>13395.2</v>
      </c>
      <c r="G15" s="251">
        <v>0</v>
      </c>
      <c r="H15" s="251">
        <v>13395.2</v>
      </c>
      <c r="I15" s="251">
        <v>0</v>
      </c>
      <c r="J15" s="434" t="s">
        <v>3</v>
      </c>
    </row>
    <row r="16" spans="1:10" x14ac:dyDescent="0.25">
      <c r="A16" s="251" t="s">
        <v>742</v>
      </c>
      <c r="B16" s="251" t="s">
        <v>19</v>
      </c>
      <c r="C16" s="251" t="s">
        <v>743</v>
      </c>
      <c r="D16" s="251">
        <v>5762.2</v>
      </c>
      <c r="E16" s="251">
        <v>0</v>
      </c>
      <c r="F16" s="251">
        <v>5762.2</v>
      </c>
      <c r="G16" s="251">
        <v>0</v>
      </c>
      <c r="H16" s="251">
        <v>5762.2</v>
      </c>
      <c r="I16" s="251">
        <v>0</v>
      </c>
      <c r="J16" s="434" t="s">
        <v>3</v>
      </c>
    </row>
    <row r="17" spans="1:10" x14ac:dyDescent="0.25">
      <c r="A17" s="251" t="s">
        <v>744</v>
      </c>
      <c r="B17" s="251" t="s">
        <v>19</v>
      </c>
      <c r="C17" s="251" t="s">
        <v>745</v>
      </c>
      <c r="D17" s="251">
        <v>87.9</v>
      </c>
      <c r="E17" s="251">
        <v>0</v>
      </c>
      <c r="F17" s="251">
        <v>87.9</v>
      </c>
      <c r="G17" s="251">
        <v>0</v>
      </c>
      <c r="H17" s="251">
        <v>87.9</v>
      </c>
      <c r="I17" s="251">
        <v>0</v>
      </c>
      <c r="J17" s="434" t="s">
        <v>3</v>
      </c>
    </row>
    <row r="18" spans="1:10" x14ac:dyDescent="0.25">
      <c r="A18" s="251" t="s">
        <v>746</v>
      </c>
      <c r="B18" s="251" t="s">
        <v>19</v>
      </c>
      <c r="C18" s="251" t="s">
        <v>747</v>
      </c>
      <c r="D18" s="251">
        <v>921.4</v>
      </c>
      <c r="E18" s="251">
        <v>0</v>
      </c>
      <c r="F18" s="251">
        <v>921.4</v>
      </c>
      <c r="G18" s="251">
        <v>0</v>
      </c>
      <c r="H18" s="251">
        <v>921.4</v>
      </c>
      <c r="I18" s="251">
        <v>0</v>
      </c>
      <c r="J18" s="434" t="s">
        <v>3</v>
      </c>
    </row>
    <row r="19" spans="1:10" x14ac:dyDescent="0.25">
      <c r="A19" s="251" t="s">
        <v>748</v>
      </c>
      <c r="B19" s="251" t="s">
        <v>19</v>
      </c>
      <c r="C19" s="251" t="s">
        <v>749</v>
      </c>
      <c r="D19" s="251">
        <v>54219</v>
      </c>
      <c r="E19" s="251">
        <v>0</v>
      </c>
      <c r="F19" s="251">
        <v>54219</v>
      </c>
      <c r="G19" s="251">
        <v>0</v>
      </c>
      <c r="H19" s="251">
        <v>54219</v>
      </c>
      <c r="I19" s="251">
        <v>0</v>
      </c>
      <c r="J19" s="434" t="s">
        <v>3</v>
      </c>
    </row>
    <row r="20" spans="1:10" x14ac:dyDescent="0.25">
      <c r="A20" s="251" t="s">
        <v>750</v>
      </c>
      <c r="B20" s="251" t="s">
        <v>19</v>
      </c>
      <c r="C20" s="251" t="s">
        <v>751</v>
      </c>
      <c r="D20" s="251">
        <v>49960</v>
      </c>
      <c r="E20" s="251">
        <v>0</v>
      </c>
      <c r="F20" s="251">
        <v>49960</v>
      </c>
      <c r="G20" s="251">
        <v>0</v>
      </c>
      <c r="H20" s="251">
        <v>49960</v>
      </c>
      <c r="I20" s="251">
        <v>0</v>
      </c>
      <c r="J20" s="434" t="s">
        <v>3</v>
      </c>
    </row>
    <row r="21" spans="1:10" x14ac:dyDescent="0.25">
      <c r="A21" s="251" t="s">
        <v>752</v>
      </c>
      <c r="B21" s="251" t="s">
        <v>19</v>
      </c>
      <c r="C21" s="251" t="s">
        <v>753</v>
      </c>
      <c r="D21" s="251">
        <v>2537</v>
      </c>
      <c r="E21" s="251">
        <v>0</v>
      </c>
      <c r="F21" s="251">
        <v>2537</v>
      </c>
      <c r="G21" s="251">
        <v>0</v>
      </c>
      <c r="H21" s="251">
        <v>2537</v>
      </c>
      <c r="I21" s="251">
        <v>0</v>
      </c>
      <c r="J21" s="434" t="s">
        <v>3</v>
      </c>
    </row>
    <row r="22" spans="1:10" x14ac:dyDescent="0.25">
      <c r="A22" s="251" t="s">
        <v>754</v>
      </c>
      <c r="B22" s="251" t="s">
        <v>19</v>
      </c>
      <c r="C22" s="251" t="s">
        <v>755</v>
      </c>
      <c r="D22" s="251">
        <v>1344</v>
      </c>
      <c r="E22" s="251">
        <v>0</v>
      </c>
      <c r="F22" s="251">
        <v>1344</v>
      </c>
      <c r="G22" s="251">
        <v>0</v>
      </c>
      <c r="H22" s="251">
        <v>1344</v>
      </c>
      <c r="I22" s="251">
        <v>0</v>
      </c>
      <c r="J22" s="434" t="s">
        <v>3</v>
      </c>
    </row>
    <row r="23" spans="1:10" x14ac:dyDescent="0.25">
      <c r="A23" s="251" t="s">
        <v>756</v>
      </c>
      <c r="B23" s="251" t="s">
        <v>19</v>
      </c>
      <c r="C23" s="251" t="s">
        <v>757</v>
      </c>
      <c r="D23" s="251">
        <v>15</v>
      </c>
      <c r="E23" s="251">
        <v>0</v>
      </c>
      <c r="F23" s="251">
        <v>15</v>
      </c>
      <c r="G23" s="251">
        <v>0</v>
      </c>
      <c r="H23" s="251">
        <v>15</v>
      </c>
      <c r="I23" s="251">
        <v>0</v>
      </c>
      <c r="J23" s="434" t="s">
        <v>3</v>
      </c>
    </row>
    <row r="24" spans="1:10" x14ac:dyDescent="0.25">
      <c r="A24" s="251" t="s">
        <v>758</v>
      </c>
      <c r="B24" s="251" t="s">
        <v>19</v>
      </c>
      <c r="C24" s="251" t="s">
        <v>759</v>
      </c>
      <c r="D24" s="251">
        <v>363</v>
      </c>
      <c r="E24" s="251">
        <v>0</v>
      </c>
      <c r="F24" s="251">
        <v>363</v>
      </c>
      <c r="G24" s="251">
        <v>0</v>
      </c>
      <c r="H24" s="251">
        <v>363</v>
      </c>
      <c r="I24" s="251">
        <v>0</v>
      </c>
      <c r="J24" s="434" t="s">
        <v>3</v>
      </c>
    </row>
    <row r="25" spans="1:10" x14ac:dyDescent="0.25">
      <c r="A25" s="251" t="s">
        <v>760</v>
      </c>
      <c r="B25" s="251" t="s">
        <v>19</v>
      </c>
      <c r="C25" s="251" t="s">
        <v>761</v>
      </c>
      <c r="D25" s="251">
        <v>3172</v>
      </c>
      <c r="E25" s="251">
        <v>0</v>
      </c>
      <c r="F25" s="251">
        <v>3172</v>
      </c>
      <c r="G25" s="251">
        <v>0</v>
      </c>
      <c r="H25" s="251">
        <v>3172</v>
      </c>
      <c r="I25" s="251">
        <v>0</v>
      </c>
      <c r="J25" s="434" t="s">
        <v>3</v>
      </c>
    </row>
    <row r="26" spans="1:10" x14ac:dyDescent="0.25">
      <c r="A26" s="251" t="s">
        <v>762</v>
      </c>
      <c r="B26" s="251" t="s">
        <v>19</v>
      </c>
      <c r="C26" s="251" t="s">
        <v>763</v>
      </c>
      <c r="D26" s="251">
        <v>10750</v>
      </c>
      <c r="E26" s="251">
        <v>0</v>
      </c>
      <c r="F26" s="251">
        <v>10750</v>
      </c>
      <c r="G26" s="251">
        <v>0</v>
      </c>
      <c r="H26" s="251">
        <v>10750</v>
      </c>
      <c r="I26" s="251">
        <v>0</v>
      </c>
      <c r="J26" s="434" t="s">
        <v>3</v>
      </c>
    </row>
    <row r="27" spans="1:10" x14ac:dyDescent="0.25">
      <c r="A27" s="251" t="s">
        <v>764</v>
      </c>
      <c r="B27" s="251" t="s">
        <v>19</v>
      </c>
      <c r="C27" s="251" t="s">
        <v>765</v>
      </c>
      <c r="D27" s="251">
        <v>48526.466754445377</v>
      </c>
      <c r="E27" s="251">
        <v>0</v>
      </c>
      <c r="F27" s="251">
        <v>48526.466754445377</v>
      </c>
      <c r="G27" s="251">
        <v>0</v>
      </c>
      <c r="H27" s="251">
        <v>48526.466754445377</v>
      </c>
      <c r="I27" s="251">
        <v>0</v>
      </c>
      <c r="J27" s="434" t="s">
        <v>3</v>
      </c>
    </row>
    <row r="28" spans="1:10" x14ac:dyDescent="0.25">
      <c r="A28" s="251" t="s">
        <v>766</v>
      </c>
      <c r="B28" s="251" t="s">
        <v>19</v>
      </c>
      <c r="C28" s="251" t="s">
        <v>767</v>
      </c>
      <c r="D28" s="251">
        <v>25610.124467042806</v>
      </c>
      <c r="E28" s="251">
        <v>0</v>
      </c>
      <c r="F28" s="251">
        <v>25610.124467042806</v>
      </c>
      <c r="G28" s="251">
        <v>0</v>
      </c>
      <c r="H28" s="251">
        <v>25610.124467042806</v>
      </c>
      <c r="I28" s="251">
        <v>0</v>
      </c>
      <c r="J28" s="434" t="s">
        <v>3</v>
      </c>
    </row>
    <row r="29" spans="1:10" x14ac:dyDescent="0.25">
      <c r="A29" s="251" t="s">
        <v>768</v>
      </c>
      <c r="B29" s="251" t="s">
        <v>19</v>
      </c>
      <c r="C29" s="251" t="s">
        <v>769</v>
      </c>
      <c r="D29" s="251">
        <v>19758.706999999999</v>
      </c>
      <c r="E29" s="251">
        <v>0</v>
      </c>
      <c r="F29" s="251">
        <v>19758.706999999999</v>
      </c>
      <c r="G29" s="251">
        <v>0</v>
      </c>
      <c r="H29" s="251">
        <v>19758.706999999999</v>
      </c>
      <c r="I29" s="251">
        <v>0</v>
      </c>
      <c r="J29" s="434" t="s">
        <v>3</v>
      </c>
    </row>
    <row r="30" spans="1:10" x14ac:dyDescent="0.25">
      <c r="A30" s="251" t="s">
        <v>770</v>
      </c>
      <c r="B30" s="251" t="s">
        <v>19</v>
      </c>
      <c r="C30" s="251" t="s">
        <v>771</v>
      </c>
      <c r="D30" s="251">
        <v>2818.4047150344886</v>
      </c>
      <c r="E30" s="251">
        <v>0</v>
      </c>
      <c r="F30" s="251">
        <v>2818.4047150344886</v>
      </c>
      <c r="G30" s="251">
        <v>0</v>
      </c>
      <c r="H30" s="251">
        <v>2818.4047150344886</v>
      </c>
      <c r="I30" s="251">
        <v>0</v>
      </c>
      <c r="J30" s="434" t="s">
        <v>3</v>
      </c>
    </row>
    <row r="31" spans="1:10" x14ac:dyDescent="0.25">
      <c r="A31" s="251" t="s">
        <v>772</v>
      </c>
      <c r="B31" s="251" t="s">
        <v>19</v>
      </c>
      <c r="C31" s="251" t="s">
        <v>773</v>
      </c>
      <c r="D31" s="251">
        <v>339.23057236808489</v>
      </c>
      <c r="E31" s="251">
        <v>0</v>
      </c>
      <c r="F31" s="251">
        <v>339.23057236808489</v>
      </c>
      <c r="G31" s="251">
        <v>0</v>
      </c>
      <c r="H31" s="251">
        <v>339.23057236808489</v>
      </c>
      <c r="I31" s="251">
        <v>0</v>
      </c>
      <c r="J31" s="434" t="s">
        <v>3</v>
      </c>
    </row>
    <row r="32" spans="1:10" x14ac:dyDescent="0.25">
      <c r="A32" s="251" t="s">
        <v>774</v>
      </c>
      <c r="B32" s="251" t="s">
        <v>19</v>
      </c>
      <c r="C32" s="251" t="s">
        <v>775</v>
      </c>
      <c r="D32" s="251">
        <v>4547.7862783738219</v>
      </c>
      <c r="E32" s="251">
        <v>0</v>
      </c>
      <c r="F32" s="251">
        <v>4547.7862783738219</v>
      </c>
      <c r="G32" s="251">
        <v>0</v>
      </c>
      <c r="H32" s="251">
        <v>4547.7862783738219</v>
      </c>
      <c r="I32" s="251">
        <v>0</v>
      </c>
      <c r="J32" s="434" t="s">
        <v>3</v>
      </c>
    </row>
    <row r="33" spans="1:10" x14ac:dyDescent="0.25">
      <c r="A33" s="251" t="s">
        <v>776</v>
      </c>
      <c r="B33" s="251" t="s">
        <v>19</v>
      </c>
      <c r="C33" s="251" t="s">
        <v>777</v>
      </c>
      <c r="D33" s="251">
        <v>3410.0941383738223</v>
      </c>
      <c r="E33" s="251">
        <v>0</v>
      </c>
      <c r="F33" s="251">
        <v>3410.0941383738223</v>
      </c>
      <c r="G33" s="251">
        <v>0</v>
      </c>
      <c r="H33" s="251">
        <v>3410.0941383738223</v>
      </c>
      <c r="I33" s="251">
        <v>0</v>
      </c>
      <c r="J33" s="434" t="s">
        <v>3</v>
      </c>
    </row>
    <row r="34" spans="1:10" x14ac:dyDescent="0.25">
      <c r="A34" s="251" t="s">
        <v>778</v>
      </c>
      <c r="B34" s="251" t="s">
        <v>19</v>
      </c>
      <c r="C34" s="251" t="s">
        <v>779</v>
      </c>
      <c r="D34" s="251">
        <v>146.19214000000002</v>
      </c>
      <c r="E34" s="251">
        <v>0</v>
      </c>
      <c r="F34" s="251">
        <v>146.19214000000002</v>
      </c>
      <c r="G34" s="251">
        <v>0</v>
      </c>
      <c r="H34" s="251">
        <v>146.19214000000002</v>
      </c>
      <c r="I34" s="251">
        <v>0</v>
      </c>
      <c r="J34" s="434" t="s">
        <v>3</v>
      </c>
    </row>
    <row r="35" spans="1:10" x14ac:dyDescent="0.25">
      <c r="A35" s="251" t="s">
        <v>780</v>
      </c>
      <c r="B35" s="251" t="s">
        <v>19</v>
      </c>
      <c r="C35" s="251" t="s">
        <v>781</v>
      </c>
      <c r="D35" s="251">
        <v>0</v>
      </c>
      <c r="E35" s="251">
        <v>0</v>
      </c>
      <c r="F35" s="251">
        <v>0</v>
      </c>
      <c r="G35" s="251">
        <v>0</v>
      </c>
      <c r="H35" s="251">
        <v>0</v>
      </c>
      <c r="I35" s="251">
        <v>0</v>
      </c>
      <c r="J35" s="434" t="s">
        <v>3</v>
      </c>
    </row>
    <row r="36" spans="1:10" x14ac:dyDescent="0.25">
      <c r="A36" s="251" t="s">
        <v>782</v>
      </c>
      <c r="B36" s="251" t="s">
        <v>19</v>
      </c>
      <c r="C36" s="251" t="s">
        <v>783</v>
      </c>
      <c r="D36" s="251">
        <v>0</v>
      </c>
      <c r="E36" s="251">
        <v>0</v>
      </c>
      <c r="F36" s="251">
        <v>0</v>
      </c>
      <c r="G36" s="251">
        <v>0</v>
      </c>
      <c r="H36" s="251">
        <v>0</v>
      </c>
      <c r="I36" s="251">
        <v>0</v>
      </c>
      <c r="J36" s="434" t="s">
        <v>3</v>
      </c>
    </row>
    <row r="37" spans="1:10" x14ac:dyDescent="0.25">
      <c r="A37" s="251" t="s">
        <v>784</v>
      </c>
      <c r="B37" s="251" t="s">
        <v>19</v>
      </c>
      <c r="C37" s="251" t="s">
        <v>785</v>
      </c>
      <c r="D37" s="251">
        <v>420</v>
      </c>
      <c r="E37" s="251">
        <v>0</v>
      </c>
      <c r="F37" s="251">
        <v>420</v>
      </c>
      <c r="G37" s="251">
        <v>0</v>
      </c>
      <c r="H37" s="251">
        <v>420</v>
      </c>
      <c r="I37" s="251">
        <v>0</v>
      </c>
      <c r="J37" s="434" t="s">
        <v>3</v>
      </c>
    </row>
    <row r="38" spans="1:10" x14ac:dyDescent="0.25">
      <c r="A38" s="251" t="s">
        <v>786</v>
      </c>
      <c r="B38" s="251" t="s">
        <v>19</v>
      </c>
      <c r="C38" s="251" t="s">
        <v>787</v>
      </c>
      <c r="D38" s="251">
        <v>399.5</v>
      </c>
      <c r="E38" s="251">
        <v>0</v>
      </c>
      <c r="F38" s="251">
        <v>399.5</v>
      </c>
      <c r="G38" s="251">
        <v>0</v>
      </c>
      <c r="H38" s="251">
        <v>399.5</v>
      </c>
      <c r="I38" s="251">
        <v>0</v>
      </c>
      <c r="J38" s="434" t="s">
        <v>3</v>
      </c>
    </row>
    <row r="39" spans="1:10" x14ac:dyDescent="0.25">
      <c r="A39" s="251" t="s">
        <v>788</v>
      </c>
      <c r="B39" s="251" t="s">
        <v>19</v>
      </c>
      <c r="C39" s="251" t="s">
        <v>789</v>
      </c>
      <c r="D39" s="251">
        <v>172</v>
      </c>
      <c r="E39" s="251">
        <v>0</v>
      </c>
      <c r="F39" s="251">
        <v>172</v>
      </c>
      <c r="G39" s="251">
        <v>0</v>
      </c>
      <c r="H39" s="251">
        <v>172</v>
      </c>
      <c r="I39" s="251">
        <v>0</v>
      </c>
      <c r="J39" s="434" t="s">
        <v>3</v>
      </c>
    </row>
    <row r="40" spans="1:10" x14ac:dyDescent="0.25">
      <c r="A40" s="251" t="s">
        <v>790</v>
      </c>
      <c r="B40" s="251" t="s">
        <v>19</v>
      </c>
      <c r="C40" s="251" t="s">
        <v>791</v>
      </c>
      <c r="D40" s="251">
        <v>376065.14885165961</v>
      </c>
      <c r="E40" s="251">
        <v>0</v>
      </c>
      <c r="F40" s="251">
        <v>376065.14885165961</v>
      </c>
      <c r="G40" s="251">
        <v>1226</v>
      </c>
      <c r="H40" s="251">
        <v>377291.14885165961</v>
      </c>
      <c r="I40" s="251">
        <v>0</v>
      </c>
      <c r="J40" s="434" t="s">
        <v>3</v>
      </c>
    </row>
    <row r="41" spans="1:10" x14ac:dyDescent="0.25">
      <c r="A41" s="251" t="s">
        <v>792</v>
      </c>
      <c r="B41" s="251" t="s">
        <v>19</v>
      </c>
      <c r="C41" s="251" t="s">
        <v>793</v>
      </c>
      <c r="D41" s="251">
        <v>181982.12183552099</v>
      </c>
      <c r="E41" s="251">
        <v>0</v>
      </c>
      <c r="F41" s="251">
        <v>181982.12183552099</v>
      </c>
      <c r="G41" s="251">
        <v>1042</v>
      </c>
      <c r="H41" s="251">
        <v>183024.12183552099</v>
      </c>
      <c r="I41" s="251">
        <v>0</v>
      </c>
      <c r="J41" s="434" t="s">
        <v>3</v>
      </c>
    </row>
    <row r="42" spans="1:10" x14ac:dyDescent="0.25">
      <c r="A42" s="251" t="s">
        <v>794</v>
      </c>
      <c r="B42" s="251" t="s">
        <v>19</v>
      </c>
      <c r="C42" s="251" t="s">
        <v>795</v>
      </c>
      <c r="D42" s="251">
        <v>177904.12183552099</v>
      </c>
      <c r="E42" s="251">
        <v>0</v>
      </c>
      <c r="F42" s="251">
        <v>177904.12183552099</v>
      </c>
      <c r="G42" s="251">
        <v>1042</v>
      </c>
      <c r="H42" s="251">
        <v>178946.12183552099</v>
      </c>
      <c r="I42" s="251">
        <v>0</v>
      </c>
      <c r="J42" s="434" t="s">
        <v>3</v>
      </c>
    </row>
    <row r="43" spans="1:10" x14ac:dyDescent="0.25">
      <c r="A43" s="251" t="s">
        <v>796</v>
      </c>
      <c r="B43" s="251" t="s">
        <v>19</v>
      </c>
      <c r="C43" s="251" t="s">
        <v>797</v>
      </c>
      <c r="D43" s="251">
        <v>2912</v>
      </c>
      <c r="E43" s="251">
        <v>0</v>
      </c>
      <c r="F43" s="251">
        <v>2912</v>
      </c>
      <c r="G43" s="251">
        <v>0</v>
      </c>
      <c r="H43" s="251">
        <v>2912</v>
      </c>
      <c r="I43" s="251">
        <v>0</v>
      </c>
      <c r="J43" s="434" t="s">
        <v>3</v>
      </c>
    </row>
    <row r="44" spans="1:10" x14ac:dyDescent="0.25">
      <c r="A44" s="251" t="s">
        <v>798</v>
      </c>
      <c r="B44" s="251" t="s">
        <v>19</v>
      </c>
      <c r="C44" s="251" t="s">
        <v>799</v>
      </c>
      <c r="D44" s="251">
        <v>1166</v>
      </c>
      <c r="E44" s="251">
        <v>0</v>
      </c>
      <c r="F44" s="251">
        <v>1166</v>
      </c>
      <c r="G44" s="251">
        <v>0</v>
      </c>
      <c r="H44" s="251">
        <v>1166</v>
      </c>
      <c r="I44" s="251">
        <v>0</v>
      </c>
      <c r="J44" s="434" t="s">
        <v>3</v>
      </c>
    </row>
    <row r="45" spans="1:10" x14ac:dyDescent="0.25">
      <c r="A45" s="251" t="s">
        <v>800</v>
      </c>
      <c r="B45" s="251" t="s">
        <v>19</v>
      </c>
      <c r="C45" s="251" t="s">
        <v>801</v>
      </c>
      <c r="D45" s="251">
        <v>12119</v>
      </c>
      <c r="E45" s="251">
        <v>0</v>
      </c>
      <c r="F45" s="251">
        <v>12119</v>
      </c>
      <c r="G45" s="251">
        <v>74</v>
      </c>
      <c r="H45" s="251">
        <v>12193</v>
      </c>
      <c r="I45" s="251">
        <v>0</v>
      </c>
      <c r="J45" s="434" t="s">
        <v>3</v>
      </c>
    </row>
    <row r="46" spans="1:10" x14ac:dyDescent="0.25">
      <c r="A46" s="251" t="s">
        <v>802</v>
      </c>
      <c r="B46" s="251" t="s">
        <v>19</v>
      </c>
      <c r="C46" s="251" t="s">
        <v>803</v>
      </c>
      <c r="D46" s="251">
        <v>171184.02701613863</v>
      </c>
      <c r="E46" s="251">
        <v>0</v>
      </c>
      <c r="F46" s="251">
        <v>171184.02701613863</v>
      </c>
      <c r="G46" s="251">
        <v>105</v>
      </c>
      <c r="H46" s="251">
        <v>171289.02701613863</v>
      </c>
      <c r="I46" s="251">
        <v>0</v>
      </c>
      <c r="J46" s="434" t="s">
        <v>3</v>
      </c>
    </row>
    <row r="47" spans="1:10" x14ac:dyDescent="0.25">
      <c r="A47" s="251" t="s">
        <v>804</v>
      </c>
      <c r="B47" s="251" t="s">
        <v>19</v>
      </c>
      <c r="C47" s="251" t="s">
        <v>805</v>
      </c>
      <c r="D47" s="251">
        <v>0</v>
      </c>
      <c r="E47" s="251">
        <v>0</v>
      </c>
      <c r="F47" s="251">
        <v>0</v>
      </c>
      <c r="G47" s="251">
        <v>0</v>
      </c>
      <c r="H47" s="251">
        <v>0</v>
      </c>
      <c r="I47" s="251">
        <v>0</v>
      </c>
      <c r="J47" s="434" t="s">
        <v>3</v>
      </c>
    </row>
    <row r="48" spans="1:10" x14ac:dyDescent="0.25">
      <c r="A48" s="251" t="s">
        <v>806</v>
      </c>
      <c r="B48" s="251" t="s">
        <v>19</v>
      </c>
      <c r="C48" s="251" t="s">
        <v>807</v>
      </c>
      <c r="D48" s="251">
        <v>6875</v>
      </c>
      <c r="E48" s="251">
        <v>0</v>
      </c>
      <c r="F48" s="251">
        <v>6875</v>
      </c>
      <c r="G48" s="251">
        <v>3</v>
      </c>
      <c r="H48" s="251">
        <v>6878</v>
      </c>
      <c r="I48" s="251">
        <v>0</v>
      </c>
      <c r="J48" s="434" t="s">
        <v>3</v>
      </c>
    </row>
    <row r="49" spans="1:10" x14ac:dyDescent="0.25">
      <c r="A49" s="251" t="s">
        <v>808</v>
      </c>
      <c r="B49" s="251" t="s">
        <v>19</v>
      </c>
      <c r="C49" s="251" t="s">
        <v>809</v>
      </c>
      <c r="D49" s="251">
        <v>1753</v>
      </c>
      <c r="E49" s="251">
        <v>0</v>
      </c>
      <c r="F49" s="251">
        <v>1753</v>
      </c>
      <c r="G49" s="251">
        <v>2</v>
      </c>
      <c r="H49" s="251">
        <v>1755</v>
      </c>
      <c r="I49" s="251">
        <v>0</v>
      </c>
      <c r="J49" s="434" t="s">
        <v>3</v>
      </c>
    </row>
    <row r="50" spans="1:10" x14ac:dyDescent="0.25">
      <c r="A50" s="251" t="s">
        <v>810</v>
      </c>
      <c r="B50" s="251" t="s">
        <v>19</v>
      </c>
      <c r="C50" s="251" t="s">
        <v>811</v>
      </c>
      <c r="D50" s="251">
        <v>2152</v>
      </c>
      <c r="E50" s="251">
        <v>0</v>
      </c>
      <c r="F50" s="251">
        <v>2152</v>
      </c>
      <c r="G50" s="251">
        <v>0</v>
      </c>
      <c r="H50" s="251">
        <v>2152</v>
      </c>
      <c r="I50" s="251">
        <v>0</v>
      </c>
      <c r="J50" s="434" t="s">
        <v>3</v>
      </c>
    </row>
    <row r="51" spans="1:10" x14ac:dyDescent="0.25">
      <c r="A51" s="251" t="s">
        <v>812</v>
      </c>
      <c r="B51" s="251" t="s">
        <v>19</v>
      </c>
      <c r="C51" s="251" t="s">
        <v>813</v>
      </c>
      <c r="D51" s="251">
        <v>0</v>
      </c>
      <c r="E51" s="251">
        <v>0</v>
      </c>
      <c r="F51" s="251">
        <v>0</v>
      </c>
      <c r="G51" s="251">
        <v>0</v>
      </c>
      <c r="H51" s="251">
        <v>0</v>
      </c>
      <c r="I51" s="251">
        <v>0</v>
      </c>
      <c r="J51" s="434" t="s">
        <v>3</v>
      </c>
    </row>
    <row r="52" spans="1:10" x14ac:dyDescent="0.25">
      <c r="A52" s="251" t="s">
        <v>814</v>
      </c>
      <c r="B52" s="251" t="s">
        <v>19</v>
      </c>
      <c r="C52" s="251" t="s">
        <v>815</v>
      </c>
      <c r="D52" s="251">
        <v>3589</v>
      </c>
      <c r="E52" s="251">
        <v>0</v>
      </c>
      <c r="F52" s="251">
        <v>3589</v>
      </c>
      <c r="G52" s="251">
        <v>0</v>
      </c>
      <c r="H52" s="251">
        <v>3589</v>
      </c>
      <c r="I52" s="251">
        <v>0</v>
      </c>
      <c r="J52" s="434" t="s">
        <v>3</v>
      </c>
    </row>
    <row r="53" spans="1:10" x14ac:dyDescent="0.25">
      <c r="A53" s="251" t="s">
        <v>816</v>
      </c>
      <c r="B53" s="251" t="s">
        <v>19</v>
      </c>
      <c r="C53" s="251" t="s">
        <v>817</v>
      </c>
      <c r="D53" s="251">
        <v>369866.14885165961</v>
      </c>
      <c r="E53" s="251">
        <v>0</v>
      </c>
      <c r="F53" s="251">
        <v>369866.14885165961</v>
      </c>
      <c r="G53" s="251">
        <v>1226</v>
      </c>
      <c r="H53" s="251">
        <v>371092.14885165961</v>
      </c>
      <c r="I53" s="251">
        <v>0</v>
      </c>
      <c r="J53" s="434" t="s">
        <v>3</v>
      </c>
    </row>
    <row r="54" spans="1:10" x14ac:dyDescent="0.25">
      <c r="A54" s="251" t="s">
        <v>818</v>
      </c>
      <c r="B54" s="251" t="s">
        <v>19</v>
      </c>
      <c r="C54" s="251" t="s">
        <v>819</v>
      </c>
      <c r="D54" s="251">
        <v>376065.14885165961</v>
      </c>
      <c r="E54" s="251">
        <v>0</v>
      </c>
      <c r="F54" s="251">
        <v>376065.14885165961</v>
      </c>
      <c r="G54" s="251">
        <v>1226</v>
      </c>
      <c r="H54" s="251">
        <v>377291.14885165961</v>
      </c>
      <c r="I54" s="251">
        <v>0</v>
      </c>
      <c r="J54" s="434" t="s">
        <v>3</v>
      </c>
    </row>
    <row r="55" spans="1:10" x14ac:dyDescent="0.25">
      <c r="A55" s="251" t="s">
        <v>820</v>
      </c>
      <c r="B55" s="251" t="s">
        <v>19</v>
      </c>
      <c r="C55" s="251" t="s">
        <v>821</v>
      </c>
      <c r="D55" s="251">
        <v>18309</v>
      </c>
      <c r="E55" s="251">
        <v>0</v>
      </c>
      <c r="F55" s="251">
        <v>18309</v>
      </c>
      <c r="G55" s="251">
        <v>0</v>
      </c>
      <c r="H55" s="251">
        <v>18309</v>
      </c>
      <c r="I55" s="251">
        <v>0</v>
      </c>
      <c r="J55" s="434" t="s">
        <v>3</v>
      </c>
    </row>
    <row r="56" spans="1:10" x14ac:dyDescent="0.25">
      <c r="A56" s="251" t="s">
        <v>822</v>
      </c>
      <c r="B56" s="251" t="s">
        <v>19</v>
      </c>
      <c r="C56" s="251" t="s">
        <v>823</v>
      </c>
      <c r="D56" s="251">
        <v>12110</v>
      </c>
      <c r="E56" s="251">
        <v>0</v>
      </c>
      <c r="F56" s="251">
        <v>12110</v>
      </c>
      <c r="G56" s="251">
        <v>0</v>
      </c>
      <c r="H56" s="251">
        <v>12110</v>
      </c>
      <c r="I56" s="251">
        <v>0</v>
      </c>
      <c r="J56" s="434" t="s">
        <v>3</v>
      </c>
    </row>
    <row r="57" spans="1:10" x14ac:dyDescent="0.25">
      <c r="A57" s="251" t="s">
        <v>824</v>
      </c>
      <c r="B57" s="251" t="s">
        <v>19</v>
      </c>
      <c r="C57" s="251" t="s">
        <v>825</v>
      </c>
      <c r="D57" s="251">
        <v>0</v>
      </c>
      <c r="E57" s="251">
        <v>0</v>
      </c>
      <c r="F57" s="251">
        <v>0</v>
      </c>
      <c r="G57" s="251">
        <v>0</v>
      </c>
      <c r="H57" s="251">
        <v>0</v>
      </c>
      <c r="I57" s="251">
        <v>0</v>
      </c>
      <c r="J57" s="434" t="s">
        <v>3</v>
      </c>
    </row>
    <row r="58" spans="1:10" x14ac:dyDescent="0.25">
      <c r="A58" s="251" t="s">
        <v>826</v>
      </c>
      <c r="B58" s="251" t="s">
        <v>19</v>
      </c>
      <c r="C58" s="251" t="s">
        <v>827</v>
      </c>
      <c r="D58" s="251">
        <v>0</v>
      </c>
      <c r="E58" s="251">
        <v>0</v>
      </c>
      <c r="F58" s="251">
        <v>0</v>
      </c>
      <c r="G58" s="251">
        <v>0</v>
      </c>
      <c r="H58" s="251">
        <v>0</v>
      </c>
      <c r="I58" s="251">
        <v>0</v>
      </c>
      <c r="J58" s="434" t="s">
        <v>3</v>
      </c>
    </row>
    <row r="59" spans="1:10" x14ac:dyDescent="0.25">
      <c r="A59" s="251" t="s">
        <v>828</v>
      </c>
      <c r="B59" s="251" t="s">
        <v>19</v>
      </c>
      <c r="C59" s="251" t="s">
        <v>829</v>
      </c>
      <c r="D59" s="251">
        <v>388175.14885165961</v>
      </c>
      <c r="E59" s="251">
        <v>0</v>
      </c>
      <c r="F59" s="251">
        <v>388175.14885165961</v>
      </c>
      <c r="G59" s="251">
        <v>1226</v>
      </c>
      <c r="H59" s="251">
        <v>389401.14885165961</v>
      </c>
      <c r="I59" s="251">
        <v>0</v>
      </c>
      <c r="J59" s="434" t="s">
        <v>3</v>
      </c>
    </row>
    <row r="60" spans="1:10" x14ac:dyDescent="0.25">
      <c r="A60" s="251" t="s">
        <v>830</v>
      </c>
      <c r="B60" s="251" t="s">
        <v>19</v>
      </c>
      <c r="C60" s="251" t="s">
        <v>831</v>
      </c>
      <c r="D60" s="251">
        <v>388175.14885165961</v>
      </c>
      <c r="E60" s="251">
        <v>0</v>
      </c>
      <c r="F60" s="251">
        <v>388175.14885165961</v>
      </c>
      <c r="G60" s="251">
        <v>1226</v>
      </c>
      <c r="H60" s="251">
        <v>389401.14885165961</v>
      </c>
      <c r="I60" s="251">
        <v>0</v>
      </c>
      <c r="J60" s="434" t="s">
        <v>3</v>
      </c>
    </row>
    <row r="61" spans="1:10" x14ac:dyDescent="0.25">
      <c r="A61" s="251" t="s">
        <v>832</v>
      </c>
      <c r="B61" s="251" t="s">
        <v>19</v>
      </c>
      <c r="C61" s="251" t="s">
        <v>833</v>
      </c>
      <c r="D61" s="251">
        <v>0</v>
      </c>
      <c r="E61" s="251">
        <v>0</v>
      </c>
      <c r="F61" s="251">
        <v>0</v>
      </c>
      <c r="G61" s="251">
        <v>0</v>
      </c>
      <c r="H61" s="251">
        <v>0</v>
      </c>
      <c r="I61" s="251">
        <v>0</v>
      </c>
      <c r="J61" s="434" t="s">
        <v>3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D8"/>
  <sheetViews>
    <sheetView workbookViewId="0">
      <selection activeCell="E13" sqref="E13"/>
    </sheetView>
  </sheetViews>
  <sheetFormatPr defaultRowHeight="15" x14ac:dyDescent="0.25"/>
  <sheetData>
    <row r="1" spans="1:4" x14ac:dyDescent="0.25">
      <c r="A1" s="251" t="s">
        <v>679</v>
      </c>
      <c r="B1" s="251" t="s">
        <v>681</v>
      </c>
      <c r="C1" s="251" t="s">
        <v>674</v>
      </c>
      <c r="D1" s="251" t="s">
        <v>834</v>
      </c>
    </row>
    <row r="2" spans="1:4" x14ac:dyDescent="0.25">
      <c r="A2" s="251"/>
      <c r="B2" s="251"/>
      <c r="C2" s="251"/>
      <c r="D2" s="251"/>
    </row>
    <row r="3" spans="1:4" x14ac:dyDescent="0.25">
      <c r="A3" s="251"/>
      <c r="B3" s="251"/>
      <c r="C3" s="251"/>
      <c r="D3" s="251"/>
    </row>
    <row r="4" spans="1:4" x14ac:dyDescent="0.25">
      <c r="A4" s="251"/>
      <c r="B4" s="251"/>
      <c r="C4" s="251"/>
      <c r="D4" s="251"/>
    </row>
    <row r="5" spans="1:4" x14ac:dyDescent="0.25">
      <c r="A5" s="251"/>
      <c r="B5" s="251"/>
      <c r="C5" s="251"/>
      <c r="D5" s="251"/>
    </row>
    <row r="6" spans="1:4" x14ac:dyDescent="0.25">
      <c r="A6" s="251"/>
      <c r="B6" s="251"/>
      <c r="C6" s="251"/>
      <c r="D6" s="251"/>
    </row>
    <row r="7" spans="1:4" x14ac:dyDescent="0.25">
      <c r="A7" s="251"/>
      <c r="B7" s="251"/>
      <c r="C7" s="251"/>
      <c r="D7" s="251"/>
    </row>
    <row r="8" spans="1:4" x14ac:dyDescent="0.25">
      <c r="A8" s="251"/>
      <c r="B8" s="251"/>
      <c r="C8" s="251"/>
      <c r="D8" s="251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A10"/>
  <sheetViews>
    <sheetView workbookViewId="0">
      <selection activeCell="A2" sqref="A2"/>
    </sheetView>
  </sheetViews>
  <sheetFormatPr defaultRowHeight="15" x14ac:dyDescent="0.25"/>
  <cols>
    <col min="1" max="16384" width="9.140625" style="77"/>
  </cols>
  <sheetData>
    <row r="1" spans="1:1" x14ac:dyDescent="0.25">
      <c r="A1" s="77" t="s">
        <v>0</v>
      </c>
    </row>
    <row r="2" spans="1:1" x14ac:dyDescent="0.25">
      <c r="A2" s="77" t="s">
        <v>3</v>
      </c>
    </row>
    <row r="3" spans="1:1" x14ac:dyDescent="0.25">
      <c r="A3" s="77" t="s">
        <v>4</v>
      </c>
    </row>
    <row r="4" spans="1:1" x14ac:dyDescent="0.25">
      <c r="A4" s="77" t="s">
        <v>5</v>
      </c>
    </row>
    <row r="5" spans="1:1" x14ac:dyDescent="0.25">
      <c r="A5" s="77" t="s">
        <v>6</v>
      </c>
    </row>
    <row r="6" spans="1:1" x14ac:dyDescent="0.25">
      <c r="A6" s="77" t="s">
        <v>7</v>
      </c>
    </row>
    <row r="7" spans="1:1" x14ac:dyDescent="0.25">
      <c r="A7" s="77" t="s">
        <v>8</v>
      </c>
    </row>
    <row r="8" spans="1:1" x14ac:dyDescent="0.25">
      <c r="A8" s="77" t="s">
        <v>9</v>
      </c>
    </row>
    <row r="9" spans="1:1" x14ac:dyDescent="0.25">
      <c r="A9" s="77" t="s">
        <v>10</v>
      </c>
    </row>
    <row r="10" spans="1:1" x14ac:dyDescent="0.25">
      <c r="A10" s="77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H2"/>
  <sheetViews>
    <sheetView workbookViewId="0"/>
  </sheetViews>
  <sheetFormatPr defaultRowHeight="15" x14ac:dyDescent="0.25"/>
  <cols>
    <col min="1" max="3" width="9.140625" style="77"/>
    <col min="4" max="4" width="14.5703125" style="77" bestFit="1" customWidth="1"/>
    <col min="5" max="5" width="9.140625" style="77"/>
    <col min="6" max="6" width="17" style="77" bestFit="1" customWidth="1"/>
    <col min="7" max="7" width="19.7109375" style="77" bestFit="1" customWidth="1"/>
    <col min="8" max="8" width="17.85546875" style="77" customWidth="1"/>
    <col min="9" max="16384" width="9.140625" style="77"/>
  </cols>
  <sheetData>
    <row r="1" spans="1:8" x14ac:dyDescent="0.25">
      <c r="A1" s="274" t="s">
        <v>12</v>
      </c>
      <c r="B1" s="274" t="s">
        <v>13</v>
      </c>
      <c r="C1" s="274" t="s">
        <v>14</v>
      </c>
      <c r="D1" s="274" t="s">
        <v>15</v>
      </c>
      <c r="E1" s="274" t="s">
        <v>16</v>
      </c>
      <c r="F1" s="274" t="s">
        <v>17</v>
      </c>
      <c r="G1" s="274" t="s">
        <v>18</v>
      </c>
      <c r="H1" s="343" t="s">
        <v>1</v>
      </c>
    </row>
    <row r="2" spans="1:8" x14ac:dyDescent="0.25">
      <c r="A2" s="274" t="s">
        <v>19</v>
      </c>
      <c r="B2" s="274" t="s">
        <v>20</v>
      </c>
      <c r="C2" s="274" t="s">
        <v>21</v>
      </c>
      <c r="D2" s="272" t="s">
        <v>22</v>
      </c>
      <c r="E2" s="273" t="s">
        <v>23</v>
      </c>
      <c r="F2" s="274" t="s">
        <v>24</v>
      </c>
      <c r="G2" s="274" t="s">
        <v>25</v>
      </c>
      <c r="H2" s="434" t="s">
        <v>26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B13"/>
  <sheetViews>
    <sheetView workbookViewId="0">
      <selection activeCell="A2" sqref="A2"/>
    </sheetView>
  </sheetViews>
  <sheetFormatPr defaultRowHeight="15" x14ac:dyDescent="0.25"/>
  <cols>
    <col min="2" max="2" width="13.5703125" bestFit="1" customWidth="1"/>
  </cols>
  <sheetData>
    <row r="1" spans="1:2" x14ac:dyDescent="0.25">
      <c r="A1" s="408" t="s">
        <v>27</v>
      </c>
      <c r="B1" s="408" t="s">
        <v>28</v>
      </c>
    </row>
    <row r="2" spans="1:2" x14ac:dyDescent="0.25">
      <c r="A2" s="342" t="s">
        <v>26</v>
      </c>
      <c r="B2" s="114" t="s">
        <v>29</v>
      </c>
    </row>
    <row r="3" spans="1:2" x14ac:dyDescent="0.25">
      <c r="A3" s="342" t="s">
        <v>30</v>
      </c>
      <c r="B3" s="408" t="s">
        <v>31</v>
      </c>
    </row>
    <row r="4" spans="1:2" x14ac:dyDescent="0.25">
      <c r="A4" s="342" t="s">
        <v>32</v>
      </c>
      <c r="B4" s="408" t="s">
        <v>33</v>
      </c>
    </row>
    <row r="5" spans="1:2" x14ac:dyDescent="0.25">
      <c r="A5" s="342" t="s">
        <v>34</v>
      </c>
      <c r="B5" s="408" t="s">
        <v>35</v>
      </c>
    </row>
    <row r="6" spans="1:2" x14ac:dyDescent="0.25">
      <c r="A6" s="342" t="s">
        <v>36</v>
      </c>
      <c r="B6" s="408" t="s">
        <v>37</v>
      </c>
    </row>
    <row r="7" spans="1:2" x14ac:dyDescent="0.25">
      <c r="A7" s="342" t="s">
        <v>38</v>
      </c>
      <c r="B7" s="408" t="s">
        <v>39</v>
      </c>
    </row>
    <row r="8" spans="1:2" x14ac:dyDescent="0.25">
      <c r="A8" s="342" t="s">
        <v>40</v>
      </c>
      <c r="B8" s="408" t="s">
        <v>41</v>
      </c>
    </row>
    <row r="9" spans="1:2" x14ac:dyDescent="0.25">
      <c r="A9" s="342" t="s">
        <v>42</v>
      </c>
      <c r="B9" s="408" t="s">
        <v>43</v>
      </c>
    </row>
    <row r="10" spans="1:2" x14ac:dyDescent="0.25">
      <c r="A10" s="342" t="s">
        <v>44</v>
      </c>
      <c r="B10" s="408" t="s">
        <v>45</v>
      </c>
    </row>
    <row r="11" spans="1:2" x14ac:dyDescent="0.25">
      <c r="A11" s="342" t="s">
        <v>46</v>
      </c>
      <c r="B11" s="408" t="s">
        <v>47</v>
      </c>
    </row>
    <row r="12" spans="1:2" x14ac:dyDescent="0.25">
      <c r="A12" s="342" t="s">
        <v>48</v>
      </c>
      <c r="B12" s="408" t="s">
        <v>49</v>
      </c>
    </row>
    <row r="13" spans="1:2" x14ac:dyDescent="0.25">
      <c r="A13" s="342" t="s">
        <v>50</v>
      </c>
      <c r="B13" s="408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N55"/>
  <sheetViews>
    <sheetView workbookViewId="0">
      <selection activeCell="B10" sqref="B10"/>
    </sheetView>
  </sheetViews>
  <sheetFormatPr defaultColWidth="0" defaultRowHeight="12.75" customHeight="1" zeroHeight="1" x14ac:dyDescent="0.2"/>
  <cols>
    <col min="1" max="1" width="18.5703125" style="112" bestFit="1" customWidth="1"/>
    <col min="2" max="2" width="23.7109375" style="92" customWidth="1"/>
    <col min="3" max="3" width="9.140625" style="92" customWidth="1"/>
    <col min="4" max="4" width="12.42578125" style="92" customWidth="1"/>
    <col min="5" max="8" width="9.140625" style="92" customWidth="1"/>
    <col min="9" max="9" width="3.42578125" style="92" hidden="1" customWidth="1"/>
    <col min="10" max="10" width="3" style="92" hidden="1" customWidth="1"/>
    <col min="11" max="11" width="4" style="93" hidden="1" customWidth="1"/>
    <col min="12" max="12" width="58.28515625" style="93" hidden="1" customWidth="1"/>
    <col min="13" max="16384" width="9.140625" style="92" hidden="1"/>
  </cols>
  <sheetData>
    <row r="1" spans="1:14" x14ac:dyDescent="0.2">
      <c r="A1" s="89"/>
      <c r="B1" s="90"/>
      <c r="C1" s="90"/>
      <c r="D1" s="90"/>
      <c r="E1" s="90"/>
      <c r="F1" s="90"/>
      <c r="G1" s="90"/>
      <c r="H1" s="91"/>
    </row>
    <row r="2" spans="1:14" s="99" customFormat="1" x14ac:dyDescent="0.2">
      <c r="A2" s="94" t="s">
        <v>52</v>
      </c>
      <c r="B2" s="95" t="str">
        <f>ANAGR!$A$2</f>
        <v>702</v>
      </c>
      <c r="C2" s="96" t="str">
        <f>ANAGR!$B$2</f>
        <v>ASST SANTI PAOLO E CARLO</v>
      </c>
      <c r="D2" s="97"/>
      <c r="E2" s="97"/>
      <c r="F2" s="97"/>
      <c r="G2" s="97"/>
      <c r="H2" s="98"/>
      <c r="J2" s="100"/>
      <c r="K2" s="101"/>
      <c r="L2" s="101"/>
    </row>
    <row r="3" spans="1:14" x14ac:dyDescent="0.2">
      <c r="A3" s="94" t="s">
        <v>53</v>
      </c>
      <c r="B3" s="102" t="str">
        <f>ANAGR!$C$2</f>
        <v>2017</v>
      </c>
      <c r="C3" s="103"/>
      <c r="D3" s="103"/>
      <c r="E3" s="103"/>
      <c r="F3" s="103"/>
      <c r="G3" s="103"/>
      <c r="H3" s="104"/>
      <c r="J3" s="105"/>
    </row>
    <row r="4" spans="1:14" x14ac:dyDescent="0.2">
      <c r="A4" s="94"/>
      <c r="B4" s="103"/>
      <c r="C4" s="103"/>
      <c r="D4" s="103"/>
      <c r="E4" s="103"/>
      <c r="F4" s="103"/>
      <c r="G4" s="103"/>
      <c r="H4" s="104"/>
      <c r="J4" s="105"/>
    </row>
    <row r="5" spans="1:14" x14ac:dyDescent="0.2">
      <c r="A5" s="94" t="s">
        <v>54</v>
      </c>
      <c r="B5" s="102" t="str">
        <f>ANAGR!$D$2</f>
        <v>Flussi di cassa</v>
      </c>
      <c r="C5" s="106" t="s">
        <v>55</v>
      </c>
      <c r="D5" s="103"/>
      <c r="E5" s="103"/>
      <c r="F5" s="103"/>
      <c r="G5" s="103"/>
      <c r="H5" s="104"/>
      <c r="J5" s="105"/>
    </row>
    <row r="6" spans="1:14" x14ac:dyDescent="0.2">
      <c r="A6" s="94" t="s">
        <v>56</v>
      </c>
      <c r="B6" s="102" t="str">
        <f>IF(DECRETI!$J$2="",ASSEGN!$I$2,DECRETI!$J$2)</f>
        <v>V1</v>
      </c>
      <c r="C6" s="106"/>
      <c r="D6" s="103"/>
      <c r="E6" s="103"/>
      <c r="F6" s="103"/>
      <c r="G6" s="103"/>
      <c r="H6" s="104"/>
      <c r="J6" s="105"/>
    </row>
    <row r="7" spans="1:14" x14ac:dyDescent="0.2">
      <c r="A7" s="94"/>
      <c r="B7" s="103"/>
      <c r="C7" s="106"/>
      <c r="D7" s="103"/>
      <c r="E7" s="103"/>
      <c r="F7" s="103"/>
      <c r="G7" s="103"/>
      <c r="H7" s="104"/>
      <c r="J7" s="105"/>
    </row>
    <row r="8" spans="1:14" x14ac:dyDescent="0.2">
      <c r="A8" s="94" t="s">
        <v>57</v>
      </c>
      <c r="B8" s="108" t="s">
        <v>3</v>
      </c>
      <c r="C8" s="103"/>
      <c r="D8" s="103"/>
      <c r="E8" s="103"/>
      <c r="F8" s="103"/>
      <c r="G8" s="103"/>
      <c r="H8" s="104"/>
      <c r="J8" s="105"/>
    </row>
    <row r="9" spans="1:14" x14ac:dyDescent="0.2">
      <c r="A9" s="94" t="s">
        <v>58</v>
      </c>
      <c r="B9" s="414" t="s">
        <v>29</v>
      </c>
      <c r="C9" s="103"/>
      <c r="D9" s="103"/>
      <c r="E9" s="103"/>
      <c r="F9" s="103"/>
      <c r="G9" s="103"/>
      <c r="H9" s="104"/>
      <c r="J9" s="105"/>
    </row>
    <row r="10" spans="1:14" x14ac:dyDescent="0.2">
      <c r="A10" s="94" t="s">
        <v>59</v>
      </c>
      <c r="B10" s="427">
        <v>42786</v>
      </c>
      <c r="C10" s="107" t="s">
        <v>60</v>
      </c>
      <c r="D10" s="103"/>
      <c r="E10" s="103"/>
      <c r="F10" s="103"/>
      <c r="G10" s="103"/>
      <c r="H10" s="104"/>
      <c r="J10" s="105"/>
    </row>
    <row r="11" spans="1:14" x14ac:dyDescent="0.2">
      <c r="A11" s="94"/>
      <c r="B11" s="103"/>
      <c r="C11" s="103"/>
      <c r="D11" s="103"/>
      <c r="E11" s="103"/>
      <c r="F11" s="103"/>
      <c r="G11" s="103"/>
      <c r="H11" s="104"/>
      <c r="J11" s="105"/>
    </row>
    <row r="12" spans="1:14" x14ac:dyDescent="0.2">
      <c r="A12" s="94"/>
      <c r="B12" s="103"/>
      <c r="C12" s="103"/>
      <c r="D12" s="103"/>
      <c r="E12" s="103"/>
      <c r="F12" s="103"/>
      <c r="G12" s="103"/>
      <c r="H12" s="104"/>
      <c r="J12" s="105"/>
    </row>
    <row r="13" spans="1:14" ht="13.5" thickBot="1" x14ac:dyDescent="0.25">
      <c r="A13" s="109"/>
      <c r="B13" s="110"/>
      <c r="C13" s="110"/>
      <c r="D13" s="110"/>
      <c r="E13" s="110"/>
      <c r="F13" s="110"/>
      <c r="G13" s="110"/>
      <c r="H13" s="111" t="s">
        <v>61</v>
      </c>
      <c r="J13" s="105"/>
    </row>
    <row r="14" spans="1:14" hidden="1" x14ac:dyDescent="0.2">
      <c r="K14" s="93">
        <v>311</v>
      </c>
      <c r="L14" s="93" t="s">
        <v>62</v>
      </c>
      <c r="N14" s="92" t="s">
        <v>63</v>
      </c>
    </row>
    <row r="15" spans="1:14" hidden="1" x14ac:dyDescent="0.2">
      <c r="K15" s="93">
        <v>312</v>
      </c>
      <c r="L15" s="93" t="s">
        <v>64</v>
      </c>
      <c r="N15" s="92" t="s">
        <v>65</v>
      </c>
    </row>
    <row r="16" spans="1:14" hidden="1" x14ac:dyDescent="0.2">
      <c r="K16" s="93">
        <v>313</v>
      </c>
      <c r="L16" s="93" t="s">
        <v>66</v>
      </c>
      <c r="N16" s="92" t="s">
        <v>67</v>
      </c>
    </row>
    <row r="17" spans="11:12" hidden="1" x14ac:dyDescent="0.2">
      <c r="K17" s="93">
        <v>314</v>
      </c>
      <c r="L17" s="93" t="s">
        <v>68</v>
      </c>
    </row>
    <row r="18" spans="11:12" hidden="1" x14ac:dyDescent="0.2">
      <c r="K18" s="93">
        <v>315</v>
      </c>
      <c r="L18" s="93" t="s">
        <v>69</v>
      </c>
    </row>
    <row r="19" spans="11:12" hidden="1" x14ac:dyDescent="0.2">
      <c r="K19" s="93">
        <v>951</v>
      </c>
      <c r="L19" s="93" t="s">
        <v>70</v>
      </c>
    </row>
    <row r="20" spans="11:12" hidden="1" x14ac:dyDescent="0.2">
      <c r="K20" s="93">
        <v>952</v>
      </c>
      <c r="L20" s="93" t="s">
        <v>71</v>
      </c>
    </row>
    <row r="21" spans="11:12" hidden="1" x14ac:dyDescent="0.2">
      <c r="K21" s="93">
        <v>953</v>
      </c>
      <c r="L21" s="93" t="s">
        <v>72</v>
      </c>
    </row>
    <row r="22" spans="11:12" hidden="1" x14ac:dyDescent="0.2">
      <c r="K22" s="93">
        <v>954</v>
      </c>
      <c r="L22" s="93" t="s">
        <v>73</v>
      </c>
    </row>
    <row r="23" spans="11:12" hidden="1" x14ac:dyDescent="0.2">
      <c r="K23" s="93">
        <v>955</v>
      </c>
      <c r="L23" s="93" t="s">
        <v>74</v>
      </c>
    </row>
    <row r="24" spans="11:12" hidden="1" x14ac:dyDescent="0.2">
      <c r="K24" s="93">
        <v>956</v>
      </c>
      <c r="L24" s="93" t="s">
        <v>75</v>
      </c>
    </row>
    <row r="25" spans="11:12" hidden="1" x14ac:dyDescent="0.2">
      <c r="K25" s="93">
        <v>957</v>
      </c>
      <c r="L25" s="93" t="s">
        <v>76</v>
      </c>
    </row>
    <row r="26" spans="11:12" hidden="1" x14ac:dyDescent="0.2">
      <c r="K26" s="93">
        <v>958</v>
      </c>
      <c r="L26" s="93" t="s">
        <v>77</v>
      </c>
    </row>
    <row r="27" spans="11:12" hidden="1" x14ac:dyDescent="0.2">
      <c r="K27" s="93">
        <v>959</v>
      </c>
      <c r="L27" s="93" t="s">
        <v>78</v>
      </c>
    </row>
    <row r="28" spans="11:12" hidden="1" x14ac:dyDescent="0.2">
      <c r="K28" s="93">
        <v>960</v>
      </c>
      <c r="L28" s="93" t="s">
        <v>79</v>
      </c>
    </row>
    <row r="29" spans="11:12" hidden="1" x14ac:dyDescent="0.2">
      <c r="K29" s="93">
        <v>962</v>
      </c>
      <c r="L29" s="93" t="s">
        <v>80</v>
      </c>
    </row>
    <row r="30" spans="11:12" hidden="1" x14ac:dyDescent="0.2">
      <c r="K30" s="93">
        <v>963</v>
      </c>
      <c r="L30" s="93" t="s">
        <v>81</v>
      </c>
    </row>
    <row r="31" spans="11:12" hidden="1" x14ac:dyDescent="0.2">
      <c r="K31" s="93">
        <v>964</v>
      </c>
      <c r="L31" s="93" t="s">
        <v>82</v>
      </c>
    </row>
    <row r="32" spans="11:12" hidden="1" x14ac:dyDescent="0.2">
      <c r="K32" s="93">
        <v>965</v>
      </c>
      <c r="L32" s="93" t="s">
        <v>83</v>
      </c>
    </row>
    <row r="33" spans="11:12" hidden="1" x14ac:dyDescent="0.2">
      <c r="K33" s="93">
        <v>966</v>
      </c>
      <c r="L33" s="93" t="s">
        <v>84</v>
      </c>
    </row>
    <row r="34" spans="11:12" hidden="1" x14ac:dyDescent="0.2">
      <c r="K34" s="93">
        <v>967</v>
      </c>
      <c r="L34" s="93" t="s">
        <v>85</v>
      </c>
    </row>
    <row r="35" spans="11:12" hidden="1" x14ac:dyDescent="0.2">
      <c r="K35" s="93">
        <v>968</v>
      </c>
      <c r="L35" s="93" t="s">
        <v>86</v>
      </c>
    </row>
    <row r="36" spans="11:12" hidden="1" x14ac:dyDescent="0.2">
      <c r="K36" s="93">
        <v>969</v>
      </c>
      <c r="L36" s="93" t="s">
        <v>87</v>
      </c>
    </row>
    <row r="37" spans="11:12" hidden="1" x14ac:dyDescent="0.2">
      <c r="K37" s="93">
        <v>970</v>
      </c>
      <c r="L37" s="93" t="s">
        <v>88</v>
      </c>
    </row>
    <row r="38" spans="11:12" hidden="1" x14ac:dyDescent="0.2">
      <c r="K38" s="93">
        <v>971</v>
      </c>
      <c r="L38" s="93" t="s">
        <v>89</v>
      </c>
    </row>
    <row r="39" spans="11:12" hidden="1" x14ac:dyDescent="0.2">
      <c r="K39" s="93">
        <v>972</v>
      </c>
      <c r="L39" s="93" t="s">
        <v>90</v>
      </c>
    </row>
    <row r="40" spans="11:12" hidden="1" x14ac:dyDescent="0.2">
      <c r="K40" s="93">
        <v>973</v>
      </c>
      <c r="L40" s="93" t="s">
        <v>91</v>
      </c>
    </row>
    <row r="41" spans="11:12" hidden="1" x14ac:dyDescent="0.2">
      <c r="K41" s="93">
        <v>974</v>
      </c>
      <c r="L41" s="93" t="s">
        <v>92</v>
      </c>
    </row>
    <row r="42" spans="11:12" hidden="1" x14ac:dyDescent="0.2">
      <c r="K42" s="93">
        <v>975</v>
      </c>
      <c r="L42" s="93" t="s">
        <v>93</v>
      </c>
    </row>
    <row r="43" spans="11:12" hidden="1" x14ac:dyDescent="0.2">
      <c r="K43" s="93">
        <v>976</v>
      </c>
      <c r="L43" s="93" t="s">
        <v>94</v>
      </c>
    </row>
    <row r="44" spans="11:12" hidden="1" x14ac:dyDescent="0.2">
      <c r="K44" s="93">
        <v>977</v>
      </c>
      <c r="L44" s="93" t="s">
        <v>95</v>
      </c>
    </row>
    <row r="45" spans="11:12" hidden="1" x14ac:dyDescent="0.2">
      <c r="K45" s="93">
        <v>978</v>
      </c>
      <c r="L45" s="93" t="s">
        <v>96</v>
      </c>
    </row>
    <row r="46" spans="11:12" hidden="1" x14ac:dyDescent="0.2">
      <c r="K46" s="93">
        <v>979</v>
      </c>
      <c r="L46" s="93" t="s">
        <v>97</v>
      </c>
    </row>
    <row r="47" spans="11:12" hidden="1" x14ac:dyDescent="0.2">
      <c r="K47" s="93">
        <v>980</v>
      </c>
      <c r="L47" s="93" t="s">
        <v>98</v>
      </c>
    </row>
    <row r="48" spans="11:12" hidden="1" x14ac:dyDescent="0.2">
      <c r="K48" s="93">
        <v>920</v>
      </c>
      <c r="L48" s="93" t="s">
        <v>99</v>
      </c>
    </row>
    <row r="49" spans="11:12" hidden="1" x14ac:dyDescent="0.2">
      <c r="K49" s="93">
        <v>922</v>
      </c>
      <c r="L49" s="93" t="s">
        <v>100</v>
      </c>
    </row>
    <row r="50" spans="11:12" hidden="1" x14ac:dyDescent="0.2">
      <c r="K50" s="93">
        <v>923</v>
      </c>
      <c r="L50" s="93" t="s">
        <v>101</v>
      </c>
    </row>
    <row r="51" spans="11:12" hidden="1" x14ac:dyDescent="0.2">
      <c r="K51" s="93">
        <v>924</v>
      </c>
      <c r="L51" s="93" t="s">
        <v>102</v>
      </c>
    </row>
    <row r="52" spans="11:12" hidden="1" x14ac:dyDescent="0.2">
      <c r="K52" s="93">
        <v>925</v>
      </c>
      <c r="L52" s="93" t="s">
        <v>103</v>
      </c>
    </row>
    <row r="53" spans="11:12" hidden="1" x14ac:dyDescent="0.2">
      <c r="K53" s="93" t="s">
        <v>104</v>
      </c>
      <c r="L53" s="113" t="s">
        <v>105</v>
      </c>
    </row>
    <row r="54" spans="11:12" hidden="1" x14ac:dyDescent="0.2"/>
    <row r="55" spans="11:12" hidden="1" x14ac:dyDescent="0.2"/>
  </sheetData>
  <sheetProtection password="A01C" sheet="1"/>
  <dataValidations count="3">
    <dataValidation allowBlank="1" showErrorMessage="1" prompt="INSERIRE LA DATA DI AGGIORNAMENTO" sqref="B10"/>
    <dataValidation type="list" allowBlank="1" showInputMessage="1" showErrorMessage="1" sqref="B8">
      <formula1>VERSIONI</formula1>
    </dataValidation>
    <dataValidation type="list" allowBlank="1" showInputMessage="1" showErrorMessage="1" sqref="B9">
      <formula1>MESI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K91"/>
  <sheetViews>
    <sheetView showGridLines="0" topLeftCell="C13" workbookViewId="0">
      <selection activeCell="D36" sqref="D36"/>
    </sheetView>
  </sheetViews>
  <sheetFormatPr defaultRowHeight="15" x14ac:dyDescent="0.25"/>
  <cols>
    <col min="1" max="1" width="11" hidden="1" customWidth="1"/>
    <col min="2" max="2" width="9.7109375" hidden="1" customWidth="1"/>
    <col min="3" max="3" width="18.140625" customWidth="1"/>
    <col min="4" max="4" width="59" customWidth="1"/>
    <col min="5" max="5" width="12.140625" customWidth="1"/>
    <col min="6" max="6" width="16.140625" customWidth="1"/>
    <col min="7" max="7" width="14.7109375" customWidth="1"/>
    <col min="8" max="8" width="22.5703125" bestFit="1" customWidth="1"/>
    <col min="9" max="9" width="22.85546875" customWidth="1"/>
    <col min="11" max="11" width="10.85546875" hidden="1" customWidth="1"/>
  </cols>
  <sheetData>
    <row r="1" spans="1:11" ht="24" thickBot="1" x14ac:dyDescent="0.3">
      <c r="A1" s="17"/>
      <c r="B1" s="17"/>
      <c r="C1" s="275" t="str">
        <f>"ASSEGNAZIONE "&amp;Info!$B$3&amp;"  - "&amp;Info!$B$6</f>
        <v>ASSEGNAZIONE 2017  - V1</v>
      </c>
      <c r="D1" s="275"/>
      <c r="E1" s="17"/>
      <c r="F1" s="17"/>
      <c r="G1" s="276"/>
      <c r="H1" s="276"/>
      <c r="I1" s="17"/>
      <c r="J1" s="17"/>
      <c r="K1" s="17"/>
    </row>
    <row r="2" spans="1:11" ht="15.75" x14ac:dyDescent="0.25">
      <c r="A2" s="17"/>
      <c r="B2" s="17"/>
      <c r="C2" s="277"/>
      <c r="D2" s="278"/>
      <c r="E2" s="279"/>
      <c r="F2" s="279"/>
      <c r="G2" s="279"/>
      <c r="H2" s="279"/>
      <c r="I2" s="279"/>
      <c r="J2" s="17"/>
      <c r="K2" s="17"/>
    </row>
    <row r="3" spans="1:11" ht="24" thickBot="1" x14ac:dyDescent="0.3">
      <c r="A3" s="17"/>
      <c r="B3" s="17"/>
      <c r="C3" s="280" t="str">
        <f>Info!$B$2</f>
        <v>702</v>
      </c>
      <c r="D3" s="295" t="str">
        <f>Info!$C$2</f>
        <v>ASST SANTI PAOLO E CARLO</v>
      </c>
      <c r="E3" s="281"/>
      <c r="F3" s="281"/>
      <c r="G3" s="281"/>
      <c r="H3" s="282" t="str">
        <f>Info!$B$2&amp;"_Scheda 1"</f>
        <v>702_Scheda 1</v>
      </c>
      <c r="I3" s="283"/>
      <c r="J3" s="17"/>
      <c r="K3" s="17"/>
    </row>
    <row r="4" spans="1:11" ht="15.75" x14ac:dyDescent="0.25">
      <c r="A4" s="17"/>
      <c r="B4" s="17"/>
      <c r="C4" s="277"/>
      <c r="D4" s="278"/>
      <c r="E4" s="298">
        <v>4</v>
      </c>
      <c r="F4" s="298">
        <v>5</v>
      </c>
      <c r="G4" s="298"/>
      <c r="H4" s="298">
        <v>7</v>
      </c>
      <c r="I4" s="17"/>
      <c r="J4" s="17"/>
      <c r="K4" s="17"/>
    </row>
    <row r="5" spans="1:11" ht="31.5" x14ac:dyDescent="0.25">
      <c r="A5" s="17"/>
      <c r="B5" s="17"/>
      <c r="C5" s="284"/>
      <c r="D5" s="285" t="s">
        <v>106</v>
      </c>
      <c r="E5" s="442" t="s">
        <v>107</v>
      </c>
      <c r="F5" s="443"/>
      <c r="G5" s="444"/>
      <c r="H5" s="433" t="s">
        <v>108</v>
      </c>
      <c r="I5" s="433" t="s">
        <v>109</v>
      </c>
      <c r="J5" s="17"/>
      <c r="K5" s="17"/>
    </row>
    <row r="6" spans="1:11" ht="38.25" x14ac:dyDescent="0.25">
      <c r="A6" s="286"/>
      <c r="B6" s="287"/>
      <c r="C6" s="299"/>
      <c r="D6" s="300"/>
      <c r="E6" s="296" t="str">
        <f>"Preventivo "&amp;Info!$B$3&amp;" SANITARIO"</f>
        <v>Preventivo 2017 SANITARIO</v>
      </c>
      <c r="F6" s="296" t="str">
        <f>"Preventivo "&amp;Info!$B$3&amp;" TER"</f>
        <v>Preventivo 2017 TER</v>
      </c>
      <c r="G6" s="296" t="str">
        <f>"Preventivo "&amp;Info!$B$3&amp;" SAN + TER"</f>
        <v>Preventivo 2017 SAN + TER</v>
      </c>
      <c r="H6" s="296" t="str">
        <f>"Preventivo "&amp;Info!$B$3&amp;" AREU"</f>
        <v>Preventivo 2017 AREU</v>
      </c>
      <c r="I6" s="296" t="str">
        <f>"Preventivo "&amp;Info!$B$3&amp;" TOTALE"</f>
        <v>Preventivo 2017 TOTALE</v>
      </c>
      <c r="J6" s="17"/>
      <c r="K6" s="296" t="s">
        <v>110</v>
      </c>
    </row>
    <row r="7" spans="1:11" ht="15.75" x14ac:dyDescent="0.25">
      <c r="A7" s="286"/>
      <c r="B7" s="287"/>
      <c r="C7" s="301" t="s">
        <v>111</v>
      </c>
      <c r="D7" s="309" t="s">
        <v>112</v>
      </c>
      <c r="E7" s="310"/>
      <c r="F7" s="310"/>
      <c r="G7" s="310"/>
      <c r="H7" s="310"/>
      <c r="I7" s="311"/>
      <c r="J7" s="17"/>
      <c r="K7" s="302"/>
    </row>
    <row r="8" spans="1:11" ht="15.75" x14ac:dyDescent="0.25">
      <c r="A8" s="17"/>
      <c r="B8" s="17"/>
      <c r="C8" s="312"/>
      <c r="D8" s="313"/>
      <c r="E8" s="314"/>
      <c r="F8" s="314"/>
      <c r="G8" s="314"/>
      <c r="H8" s="314"/>
      <c r="I8" s="315"/>
      <c r="J8" s="17"/>
      <c r="K8" s="303"/>
    </row>
    <row r="9" spans="1:11" ht="15.75" x14ac:dyDescent="0.25">
      <c r="A9" s="288" t="str">
        <f>+$C$3&amp;"_"&amp;B9&amp;"_"&amp;1</f>
        <v>702_A1TOT_1</v>
      </c>
      <c r="B9" s="17" t="s">
        <v>113</v>
      </c>
      <c r="C9" s="316" t="s">
        <v>114</v>
      </c>
      <c r="D9" s="317" t="s">
        <v>115</v>
      </c>
      <c r="E9" s="318">
        <f>SUM(E10:E13)</f>
        <v>94499.995818840442</v>
      </c>
      <c r="F9" s="392">
        <f>SUM(F10:F13)</f>
        <v>0</v>
      </c>
      <c r="G9" s="318">
        <f t="shared" ref="G9:G15" si="0">+E9+F9</f>
        <v>94499.995818840442</v>
      </c>
      <c r="H9" s="318">
        <f>SUM(H10:H12)</f>
        <v>0</v>
      </c>
      <c r="I9" s="318">
        <f t="shared" ref="I9:I15" si="1">+G9+H9</f>
        <v>94499.995818840442</v>
      </c>
      <c r="J9" s="17"/>
      <c r="K9" s="318">
        <f t="shared" ref="K9:K15" si="2">+E9+H9-I9</f>
        <v>0</v>
      </c>
    </row>
    <row r="10" spans="1:11" ht="38.25" x14ac:dyDescent="0.25">
      <c r="A10" s="288" t="str">
        <f>+$C$3&amp;"_"&amp;B10&amp;"_"&amp;1</f>
        <v>702_AOIR14_1</v>
      </c>
      <c r="B10" s="289" t="s">
        <v>116</v>
      </c>
      <c r="C10" s="320"/>
      <c r="D10" s="321" t="s">
        <v>117</v>
      </c>
      <c r="E10" s="297">
        <f>IF(ISERROR(VLOOKUP($A10,DECRETI!$A$1:$Z$500,E$4,FALSE)),0,VLOOKUP($A10,DECRETI!$A$1:$Z$500,E$4,FALSE))</f>
        <v>35785.795495769125</v>
      </c>
      <c r="F10" s="297">
        <f>IF(ISERROR(VLOOKUP($A10,DECRETI!$A$1:$Z$500,F$4,FALSE)),0,VLOOKUP($A10,DECRETI!$A$1:$Z$500,F$4,FALSE))</f>
        <v>0</v>
      </c>
      <c r="G10" s="297">
        <f t="shared" si="0"/>
        <v>35785.795495769125</v>
      </c>
      <c r="H10" s="297">
        <f>IF(ISERROR(VLOOKUP($A10,DECRETI!$A$1:$Z$500,H$4,FALSE)),0,VLOOKUP($A10,DECRETI!$A$1:$Z$500,H$4,FALSE))</f>
        <v>0</v>
      </c>
      <c r="I10" s="297">
        <f t="shared" si="1"/>
        <v>35785.795495769125</v>
      </c>
      <c r="J10" s="17"/>
      <c r="K10" s="297">
        <f t="shared" si="2"/>
        <v>0</v>
      </c>
    </row>
    <row r="11" spans="1:11" ht="15.75" x14ac:dyDescent="0.25">
      <c r="A11" s="288" t="str">
        <f>+$C$3&amp;"_"&amp;B11&amp;"_"&amp;1</f>
        <v>702_AOIR02_1</v>
      </c>
      <c r="B11" s="289" t="s">
        <v>118</v>
      </c>
      <c r="C11" s="320"/>
      <c r="D11" s="322" t="s">
        <v>119</v>
      </c>
      <c r="E11" s="297">
        <f>IF(ISERROR(VLOOKUP($A11,DECRETI!$A$1:$Z$500,E$4,FALSE)),0,VLOOKUP($A11,DECRETI!$A$1:$Z$500,E$4,FALSE))</f>
        <v>26486</v>
      </c>
      <c r="F11" s="297">
        <f>IF(ISERROR(VLOOKUP($A11,DECRETI!$A$1:$Z$500,F$4,FALSE)),0,VLOOKUP($A11,DECRETI!$A$1:$Z$500,F$4,FALSE))</f>
        <v>0</v>
      </c>
      <c r="G11" s="297">
        <f t="shared" si="0"/>
        <v>26486</v>
      </c>
      <c r="H11" s="297">
        <f>IF(ISERROR(VLOOKUP($A11,DECRETI!$A$1:$Z$500,H$4,FALSE)),0,VLOOKUP($A11,DECRETI!$A$1:$Z$500,H$4,FALSE))</f>
        <v>0</v>
      </c>
      <c r="I11" s="297">
        <f t="shared" si="1"/>
        <v>26486</v>
      </c>
      <c r="J11" s="17"/>
      <c r="K11" s="297">
        <f t="shared" si="2"/>
        <v>0</v>
      </c>
    </row>
    <row r="12" spans="1:11" ht="15.75" x14ac:dyDescent="0.25">
      <c r="A12" s="288" t="str">
        <f>+$C$3&amp;"_"&amp;B12&amp;"_"&amp;1</f>
        <v>702_AOIR11_1</v>
      </c>
      <c r="B12" s="289" t="s">
        <v>120</v>
      </c>
      <c r="C12" s="320"/>
      <c r="D12" s="322" t="s">
        <v>121</v>
      </c>
      <c r="E12" s="297">
        <f>IF(ISERROR(VLOOKUP($A12,DECRETI!$A$1:$Z$500,E$4,FALSE)),0,VLOOKUP($A12,DECRETI!$A$1:$Z$500,E$4,FALSE))</f>
        <v>32228.200323071313</v>
      </c>
      <c r="F12" s="297">
        <f>IF(ISERROR(VLOOKUP($A12,DECRETI!$A$1:$Z$500,F$4,FALSE)),0,VLOOKUP($A12,DECRETI!$A$1:$Z$500,F$4,FALSE))</f>
        <v>0</v>
      </c>
      <c r="G12" s="297">
        <f t="shared" si="0"/>
        <v>32228.200323071313</v>
      </c>
      <c r="H12" s="297">
        <f>IF(ISERROR(VLOOKUP($A12,DECRETI!$A$1:$Z$500,H$4,FALSE)),0,VLOOKUP($A12,DECRETI!$A$1:$Z$500,H$4,FALSE))</f>
        <v>0</v>
      </c>
      <c r="I12" s="297">
        <f t="shared" si="1"/>
        <v>32228.200323071313</v>
      </c>
      <c r="J12" s="17"/>
      <c r="K12" s="297">
        <f t="shared" si="2"/>
        <v>0</v>
      </c>
    </row>
    <row r="13" spans="1:11" ht="25.5" x14ac:dyDescent="0.25">
      <c r="A13" s="288" t="str">
        <f>+$C$3&amp;"_"&amp;B13&amp;"_"&amp;4</f>
        <v>702_AOIR11_4</v>
      </c>
      <c r="B13" s="289" t="s">
        <v>120</v>
      </c>
      <c r="C13" s="320"/>
      <c r="D13" s="406" t="s">
        <v>122</v>
      </c>
      <c r="E13" s="297">
        <f>IF(ISERROR(VLOOKUP($A13,DECRETI!$A$1:$Z$500,E$4,FALSE)),0,VLOOKUP($A13,DECRETI!$A$1:$Z$500,E$4,FALSE))</f>
        <v>0</v>
      </c>
      <c r="F13" s="297">
        <f>IF(ISERROR(VLOOKUP($A13,DECRETI!$A$1:$Z$500,F$4,FALSE)),0,VLOOKUP($A13,DECRETI!$A$1:$Z$500,F$4,FALSE))</f>
        <v>0</v>
      </c>
      <c r="G13" s="297">
        <f>+E13+F13</f>
        <v>0</v>
      </c>
      <c r="H13" s="297">
        <f>IF(ISERROR(VLOOKUP($A13,DECRETI!$A$1:$Z$500,H$4,FALSE)),0,VLOOKUP($A13,DECRETI!$A$1:$Z$500,H$4,FALSE))</f>
        <v>0</v>
      </c>
      <c r="I13" s="297">
        <f>+G13+H13</f>
        <v>0</v>
      </c>
      <c r="J13" s="17"/>
      <c r="K13" s="297"/>
    </row>
    <row r="14" spans="1:11" ht="15.75" x14ac:dyDescent="0.25">
      <c r="A14" s="288" t="str">
        <f>+$C$3&amp;"_"&amp;B14&amp;"_"&amp;2</f>
        <v>702_AOIR11_2</v>
      </c>
      <c r="B14" s="289" t="s">
        <v>120</v>
      </c>
      <c r="C14" s="323" t="s">
        <v>123</v>
      </c>
      <c r="D14" s="324" t="s">
        <v>124</v>
      </c>
      <c r="E14" s="325">
        <f>IF(ISERROR(VLOOKUP($A14,DECRETI!$A$1:$Z$500,E$4,FALSE)),0,VLOOKUP($A14,DECRETI!$A$1:$Z$500,E$4,FALSE))</f>
        <v>0</v>
      </c>
      <c r="F14" s="326">
        <f>IF(ISERROR(VLOOKUP($A14,DECRETI!$A$1:$Z$500,F$4,FALSE)),0,VLOOKUP($A14,DECRETI!$A$1:$Z$500,F$4,FALSE))</f>
        <v>0</v>
      </c>
      <c r="G14" s="325">
        <f t="shared" si="0"/>
        <v>0</v>
      </c>
      <c r="H14" s="325">
        <f>IF(ISERROR(VLOOKUP($A14,DECRETI!$A$1:$Z$500,H$4,FALSE)),0,VLOOKUP($A14,DECRETI!$A$1:$Z$500,H$4,FALSE))</f>
        <v>0</v>
      </c>
      <c r="I14" s="325">
        <f t="shared" si="1"/>
        <v>0</v>
      </c>
      <c r="J14" s="17"/>
      <c r="K14" s="325">
        <f t="shared" si="2"/>
        <v>0</v>
      </c>
    </row>
    <row r="15" spans="1:11" ht="15.75" x14ac:dyDescent="0.25">
      <c r="A15" s="288" t="str">
        <f>+$C$3&amp;"_"&amp;B15&amp;"_"&amp;3</f>
        <v>702_AOIR11_3</v>
      </c>
      <c r="B15" s="289" t="s">
        <v>120</v>
      </c>
      <c r="C15" s="327" t="s">
        <v>125</v>
      </c>
      <c r="D15" s="328" t="s">
        <v>126</v>
      </c>
      <c r="E15" s="329">
        <f>IF(ISERROR(VLOOKUP($A15,DECRETI!$A$1:$Z$500,E$4,FALSE)),0,VLOOKUP($A15,DECRETI!$A$1:$Z$500,E$4,FALSE))</f>
        <v>0</v>
      </c>
      <c r="F15" s="330">
        <f>IF(ISERROR(VLOOKUP($A15,DECRETI!$A$1:$Z$500,F$4,FALSE)),0,VLOOKUP($A15,DECRETI!$A$1:$Z$500,F$4,FALSE))</f>
        <v>0</v>
      </c>
      <c r="G15" s="329">
        <f t="shared" si="0"/>
        <v>0</v>
      </c>
      <c r="H15" s="329">
        <f>IF(ISERROR(VLOOKUP($A15,DECRETI!$A$1:$Z$500,H$4,FALSE)),0,VLOOKUP($A15,DECRETI!$A$1:$Z$500,H$4,FALSE))</f>
        <v>0</v>
      </c>
      <c r="I15" s="329">
        <f t="shared" si="1"/>
        <v>0</v>
      </c>
      <c r="J15" s="17"/>
      <c r="K15" s="329">
        <f t="shared" si="2"/>
        <v>0</v>
      </c>
    </row>
    <row r="16" spans="1:11" ht="15.75" x14ac:dyDescent="0.25">
      <c r="A16" s="17"/>
      <c r="B16" s="17"/>
      <c r="C16" s="312"/>
      <c r="D16" s="313"/>
      <c r="E16" s="314"/>
      <c r="F16" s="314"/>
      <c r="G16" s="314"/>
      <c r="H16" s="314"/>
      <c r="I16" s="315"/>
      <c r="J16" s="17"/>
      <c r="K16" s="304"/>
    </row>
    <row r="17" spans="1:11" ht="15.75" x14ac:dyDescent="0.25">
      <c r="A17" s="286"/>
      <c r="B17" s="287"/>
      <c r="C17" s="301" t="s">
        <v>127</v>
      </c>
      <c r="D17" s="309" t="s">
        <v>128</v>
      </c>
      <c r="E17" s="310"/>
      <c r="F17" s="310"/>
      <c r="G17" s="310"/>
      <c r="H17" s="310"/>
      <c r="I17" s="311"/>
      <c r="J17" s="17"/>
      <c r="K17" s="302"/>
    </row>
    <row r="18" spans="1:11" ht="15.75" x14ac:dyDescent="0.25">
      <c r="A18" s="17"/>
      <c r="B18" s="17"/>
      <c r="C18" s="312"/>
      <c r="D18" s="313"/>
      <c r="E18" s="314"/>
      <c r="F18" s="314"/>
      <c r="G18" s="314"/>
      <c r="H18" s="314"/>
      <c r="I18" s="315"/>
      <c r="J18" s="17"/>
      <c r="K18" s="303"/>
    </row>
    <row r="19" spans="1:11" ht="15.75" x14ac:dyDescent="0.25">
      <c r="A19" s="288" t="str">
        <f>+$C$3&amp;"_"&amp;B19&amp;"_"&amp;1</f>
        <v>702_AOIR12_1</v>
      </c>
      <c r="B19" s="289" t="s">
        <v>129</v>
      </c>
      <c r="C19" s="316" t="s">
        <v>130</v>
      </c>
      <c r="D19" s="331" t="s">
        <v>131</v>
      </c>
      <c r="E19" s="318">
        <f>IF(ISERROR(VLOOKUP($A19,DECRETI!$A$1:$Z$500,E$4,FALSE)),0,VLOOKUP($A19,DECRETI!$A$1:$Z$500,E$4,FALSE))</f>
        <v>0</v>
      </c>
      <c r="F19" s="319">
        <f>IF(ISERROR(VLOOKUP($A19,DECRETI!$A$1:$Z$500,F$4,FALSE)),0,VLOOKUP($A19,DECRETI!$A$1:$Z$500,F$4,FALSE))</f>
        <v>0</v>
      </c>
      <c r="G19" s="318">
        <f>+E19+F19</f>
        <v>0</v>
      </c>
      <c r="H19" s="318">
        <f>IF(ISERROR(VLOOKUP($A19,DECRETI!$A$1:$Z$500,H$4,FALSE)),0,VLOOKUP($A19,DECRETI!$A$1:$Z$500,H$4,FALSE))</f>
        <v>1226</v>
      </c>
      <c r="I19" s="318">
        <f>+G19+H19</f>
        <v>1226</v>
      </c>
      <c r="J19" s="17"/>
      <c r="K19" s="318">
        <f>+E19+H19-I19</f>
        <v>0</v>
      </c>
    </row>
    <row r="20" spans="1:11" ht="15.75" x14ac:dyDescent="0.25">
      <c r="A20" s="288" t="str">
        <f>+$C$3&amp;"_"&amp;B20&amp;"_"&amp;1</f>
        <v>702_AOIR06_1</v>
      </c>
      <c r="B20" s="289" t="s">
        <v>132</v>
      </c>
      <c r="C20" s="323" t="s">
        <v>133</v>
      </c>
      <c r="D20" s="332" t="s">
        <v>134</v>
      </c>
      <c r="E20" s="325">
        <f>IF(ISERROR(VLOOKUP($A20,DECRETI!$A$1:$Z$500,E$4,FALSE)),0,VLOOKUP($A20,DECRETI!$A$1:$Z$500,E$4,FALSE))</f>
        <v>8694</v>
      </c>
      <c r="F20" s="326">
        <f>IF(ISERROR(VLOOKUP($A20,DECRETI!$A$1:$Z$500,F$4,FALSE)),0,VLOOKUP($A20,DECRETI!$A$1:$Z$500,F$4,FALSE))</f>
        <v>0</v>
      </c>
      <c r="G20" s="325">
        <f>+E20+F20</f>
        <v>8694</v>
      </c>
      <c r="H20" s="325">
        <f>IF(ISERROR(VLOOKUP($A20,DECRETI!$A$1:$Z$500,H$4,FALSE)),0,VLOOKUP($A20,DECRETI!$A$1:$Z$500,H$4,FALSE))</f>
        <v>0</v>
      </c>
      <c r="I20" s="325">
        <f>+G20+H20</f>
        <v>8694</v>
      </c>
      <c r="J20" s="17"/>
      <c r="K20" s="325">
        <f>+E20+H20-I20</f>
        <v>0</v>
      </c>
    </row>
    <row r="21" spans="1:11" ht="15.75" x14ac:dyDescent="0.25">
      <c r="A21" s="288" t="str">
        <f>+$C$3&amp;"_"&amp;B21&amp;"_"&amp;1</f>
        <v>702_AOIR13_1</v>
      </c>
      <c r="B21" s="289" t="s">
        <v>135</v>
      </c>
      <c r="C21" s="323" t="s">
        <v>136</v>
      </c>
      <c r="D21" s="332" t="s">
        <v>137</v>
      </c>
      <c r="E21" s="325">
        <f>IF(ISERROR(VLOOKUP($A21,DECRETI!$A$1:$Z$500,E$4,FALSE)),0,VLOOKUP($A21,DECRETI!$A$1:$Z$500,E$4,FALSE))</f>
        <v>0</v>
      </c>
      <c r="F21" s="326">
        <f>IF(ISERROR(VLOOKUP($A21,DECRETI!$A$1:$Z$500,F$4,FALSE)),0,VLOOKUP($A21,DECRETI!$A$1:$Z$500,F$4,FALSE))</f>
        <v>0</v>
      </c>
      <c r="G21" s="325">
        <f>+E21+F21</f>
        <v>0</v>
      </c>
      <c r="H21" s="325">
        <f>IF(ISERROR(VLOOKUP($A21,DECRETI!$A$1:$Z$500,H$4,FALSE)),0,VLOOKUP($A21,DECRETI!$A$1:$Z$500,H$4,FALSE))</f>
        <v>0</v>
      </c>
      <c r="I21" s="325">
        <f>+G21+H21</f>
        <v>0</v>
      </c>
      <c r="J21" s="17"/>
      <c r="K21" s="325">
        <f>+E21+H21-I21</f>
        <v>0</v>
      </c>
    </row>
    <row r="22" spans="1:11" ht="15.75" x14ac:dyDescent="0.25">
      <c r="A22" s="288" t="str">
        <f>+$C$3&amp;"_"&amp;B22&amp;"_"&amp;1</f>
        <v>702_AOIR10_1</v>
      </c>
      <c r="B22" s="289" t="s">
        <v>138</v>
      </c>
      <c r="C22" s="327" t="s">
        <v>139</v>
      </c>
      <c r="D22" s="333" t="s">
        <v>140</v>
      </c>
      <c r="E22" s="329">
        <f>IF(ISERROR(VLOOKUP($A22,DECRETI!$A$1:$Z$500,E$4,FALSE)),0,VLOOKUP($A22,DECRETI!$A$1:$Z$500,E$4,FALSE))</f>
        <v>0</v>
      </c>
      <c r="F22" s="330">
        <f>IF(ISERROR(VLOOKUP($A22,DECRETI!$A$1:$Z$500,F$4,FALSE)),0,VLOOKUP($A22,DECRETI!$A$1:$Z$500,F$4,FALSE))</f>
        <v>0</v>
      </c>
      <c r="G22" s="329">
        <f>+E22+F22</f>
        <v>0</v>
      </c>
      <c r="H22" s="329">
        <f>IF(ISERROR(VLOOKUP($A22,DECRETI!$A$1:$Z$500,H$4,FALSE)),0,VLOOKUP($A22,DECRETI!$A$1:$Z$500,H$4,FALSE))</f>
        <v>0</v>
      </c>
      <c r="I22" s="329">
        <f>+G22+H22</f>
        <v>0</v>
      </c>
      <c r="J22" s="17"/>
      <c r="K22" s="329">
        <f>+E22+H22-I22</f>
        <v>0</v>
      </c>
    </row>
    <row r="23" spans="1:11" ht="15.75" x14ac:dyDescent="0.25">
      <c r="A23" s="17"/>
      <c r="B23" s="17"/>
      <c r="C23" s="312"/>
      <c r="D23" s="313"/>
      <c r="E23" s="314"/>
      <c r="F23" s="314"/>
      <c r="G23" s="314"/>
      <c r="H23" s="314"/>
      <c r="I23" s="315"/>
      <c r="J23" s="17"/>
      <c r="K23" s="304"/>
    </row>
    <row r="24" spans="1:11" ht="15.75" x14ac:dyDescent="0.25">
      <c r="A24" s="286"/>
      <c r="B24" s="287"/>
      <c r="C24" s="301" t="s">
        <v>141</v>
      </c>
      <c r="D24" s="309" t="s">
        <v>142</v>
      </c>
      <c r="E24" s="392">
        <f>E26+E32+E38+E39+E40+E45</f>
        <v>266672.15303281916</v>
      </c>
      <c r="F24" s="310"/>
      <c r="G24" s="310"/>
      <c r="H24" s="310"/>
      <c r="I24" s="311"/>
      <c r="J24" s="17"/>
      <c r="K24" s="302"/>
    </row>
    <row r="25" spans="1:11" ht="15.75" x14ac:dyDescent="0.25">
      <c r="A25" s="17"/>
      <c r="B25" s="17"/>
      <c r="C25" s="312"/>
      <c r="D25" s="313"/>
      <c r="E25" s="314"/>
      <c r="F25" s="314"/>
      <c r="G25" s="314"/>
      <c r="H25" s="314"/>
      <c r="I25" s="315"/>
      <c r="J25" s="17"/>
      <c r="K25" s="303"/>
    </row>
    <row r="26" spans="1:11" ht="15.75" x14ac:dyDescent="0.25">
      <c r="A26" s="288" t="str">
        <f>+$C$3&amp;"_"&amp;B26&amp;"_"&amp;1</f>
        <v>702_C8TOT_1</v>
      </c>
      <c r="B26" s="17" t="s">
        <v>143</v>
      </c>
      <c r="C26" s="316" t="s">
        <v>144</v>
      </c>
      <c r="D26" s="331" t="s">
        <v>145</v>
      </c>
      <c r="E26" s="318">
        <f>SUM(E27:E31)</f>
        <v>145456.9</v>
      </c>
      <c r="F26" s="319">
        <f>SUM(F27:F31)</f>
        <v>0</v>
      </c>
      <c r="G26" s="318">
        <f t="shared" ref="G26:G52" si="3">+E26+F26</f>
        <v>145456.9</v>
      </c>
      <c r="H26" s="318">
        <f>SUM(H27:H31)</f>
        <v>0</v>
      </c>
      <c r="I26" s="318">
        <f t="shared" ref="I26:I39" si="4">+G26+H26</f>
        <v>145456.9</v>
      </c>
      <c r="J26" s="17"/>
      <c r="K26" s="318">
        <f t="shared" ref="K26:K32" si="5">+E26+H26-I26</f>
        <v>0</v>
      </c>
    </row>
    <row r="27" spans="1:11" ht="15.75" x14ac:dyDescent="0.25">
      <c r="A27" s="288" t="str">
        <f>+$C$3&amp;"_"&amp;B27&amp;"_"&amp;1</f>
        <v>702_AOIR01_1</v>
      </c>
      <c r="B27" s="289" t="s">
        <v>146</v>
      </c>
      <c r="C27" s="323"/>
      <c r="D27" s="334" t="s">
        <v>147</v>
      </c>
      <c r="E27" s="297">
        <f>IF(ISERROR(VLOOKUP($A27,DECRETI!$A$1:$Z$500,E$4,FALSE)),0,VLOOKUP($A27,DECRETI!$A$1:$Z$500,E$4,FALSE))</f>
        <v>125290.2</v>
      </c>
      <c r="F27" s="297">
        <f>IF(ISERROR(VLOOKUP($A27,DECRETI!$A$1:$Z$500,F$4,FALSE)),0,VLOOKUP($A27,DECRETI!$A$1:$Z$500,F$4,FALSE))</f>
        <v>0</v>
      </c>
      <c r="G27" s="297">
        <f t="shared" si="3"/>
        <v>125290.2</v>
      </c>
      <c r="H27" s="297">
        <f>IF(ISERROR(VLOOKUP($A27,DECRETI!$A$1:$Z$500,H$4,FALSE)),0,VLOOKUP($A27,DECRETI!$A$1:$Z$500,H$4,FALSE))</f>
        <v>0</v>
      </c>
      <c r="I27" s="297">
        <f t="shared" si="4"/>
        <v>125290.2</v>
      </c>
      <c r="J27" s="17"/>
      <c r="K27" s="297">
        <f t="shared" si="5"/>
        <v>0</v>
      </c>
    </row>
    <row r="28" spans="1:11" ht="15.75" x14ac:dyDescent="0.25">
      <c r="A28" s="288" t="str">
        <f>+$C$3&amp;"_"&amp;B28&amp;"_"&amp;5</f>
        <v>702_AOIR01_5</v>
      </c>
      <c r="B28" s="289" t="s">
        <v>146</v>
      </c>
      <c r="C28" s="323"/>
      <c r="D28" s="334" t="s">
        <v>148</v>
      </c>
      <c r="E28" s="297">
        <f>IF(ISERROR(VLOOKUP($A28,DECRETI!$A$1:$Z$500,E$4,FALSE)),0,VLOOKUP($A28,DECRETI!$A$1:$Z$500,E$4,FALSE))</f>
        <v>13395.2</v>
      </c>
      <c r="F28" s="297">
        <f>IF(ISERROR(VLOOKUP($A28,DECRETI!$A$1:$Z$500,F$4,FALSE)),0,VLOOKUP($A28,DECRETI!$A$1:$Z$500,F$4,FALSE))</f>
        <v>0</v>
      </c>
      <c r="G28" s="297">
        <f t="shared" si="3"/>
        <v>13395.2</v>
      </c>
      <c r="H28" s="297">
        <f>IF(ISERROR(VLOOKUP($A28,DECRETI!$A$1:$Z$500,H$4,FALSE)),0,VLOOKUP($A28,DECRETI!$A$1:$Z$500,H$4,FALSE))</f>
        <v>0</v>
      </c>
      <c r="I28" s="297">
        <f t="shared" si="4"/>
        <v>13395.2</v>
      </c>
      <c r="J28" s="17"/>
      <c r="K28" s="297">
        <f t="shared" si="5"/>
        <v>0</v>
      </c>
    </row>
    <row r="29" spans="1:11" ht="15.75" x14ac:dyDescent="0.25">
      <c r="A29" s="288" t="str">
        <f>+$C$3&amp;"_"&amp;B29&amp;"_"&amp;2</f>
        <v>702_AOIR01_2</v>
      </c>
      <c r="B29" s="289" t="s">
        <v>146</v>
      </c>
      <c r="C29" s="323"/>
      <c r="D29" s="334" t="s">
        <v>149</v>
      </c>
      <c r="E29" s="297">
        <f>IF(ISERROR(VLOOKUP($A29,DECRETI!$A$1:$Z$500,E$4,FALSE)),0,VLOOKUP($A29,DECRETI!$A$1:$Z$500,E$4,FALSE))</f>
        <v>5762.2</v>
      </c>
      <c r="F29" s="297">
        <f>IF(ISERROR(VLOOKUP($A29,DECRETI!$A$1:$Z$500,F$4,FALSE)),0,VLOOKUP($A29,DECRETI!$A$1:$Z$500,F$4,FALSE))</f>
        <v>0</v>
      </c>
      <c r="G29" s="297">
        <f t="shared" si="3"/>
        <v>5762.2</v>
      </c>
      <c r="H29" s="297">
        <f>IF(ISERROR(VLOOKUP($A29,DECRETI!$A$1:$Z$500,H$4,FALSE)),0,VLOOKUP($A29,DECRETI!$A$1:$Z$500,H$4,FALSE))</f>
        <v>0</v>
      </c>
      <c r="I29" s="297">
        <f t="shared" si="4"/>
        <v>5762.2</v>
      </c>
      <c r="J29" s="17"/>
      <c r="K29" s="297">
        <f t="shared" si="5"/>
        <v>0</v>
      </c>
    </row>
    <row r="30" spans="1:11" ht="15.75" x14ac:dyDescent="0.25">
      <c r="A30" s="288" t="str">
        <f>+$C$3&amp;"_"&amp;B30&amp;"_"&amp;3</f>
        <v>702_AOIR01_3</v>
      </c>
      <c r="B30" s="289" t="s">
        <v>146</v>
      </c>
      <c r="C30" s="323"/>
      <c r="D30" s="334" t="s">
        <v>150</v>
      </c>
      <c r="E30" s="297">
        <f>IF(ISERROR(VLOOKUP($A30,DECRETI!$A$1:$Z$500,E$4,FALSE)),0,VLOOKUP($A30,DECRETI!$A$1:$Z$500,E$4,FALSE))</f>
        <v>87.9</v>
      </c>
      <c r="F30" s="297">
        <f>IF(ISERROR(VLOOKUP($A30,DECRETI!$A$1:$Z$500,F$4,FALSE)),0,VLOOKUP($A30,DECRETI!$A$1:$Z$500,F$4,FALSE))</f>
        <v>0</v>
      </c>
      <c r="G30" s="297">
        <f t="shared" si="3"/>
        <v>87.9</v>
      </c>
      <c r="H30" s="297">
        <f>IF(ISERROR(VLOOKUP($A30,DECRETI!$A$1:$Z$500,H$4,FALSE)),0,VLOOKUP($A30,DECRETI!$A$1:$Z$500,H$4,FALSE))</f>
        <v>0</v>
      </c>
      <c r="I30" s="297">
        <f t="shared" si="4"/>
        <v>87.9</v>
      </c>
      <c r="J30" s="17"/>
      <c r="K30" s="297">
        <f t="shared" si="5"/>
        <v>0</v>
      </c>
    </row>
    <row r="31" spans="1:11" ht="15.75" x14ac:dyDescent="0.25">
      <c r="A31" s="288" t="str">
        <f>+$C$3&amp;"_"&amp;B31&amp;"_"&amp;4</f>
        <v>702_AOIR01_4</v>
      </c>
      <c r="B31" s="289" t="s">
        <v>146</v>
      </c>
      <c r="C31" s="320"/>
      <c r="D31" s="334" t="s">
        <v>151</v>
      </c>
      <c r="E31" s="297">
        <f>IF(ISERROR(VLOOKUP($A31,DECRETI!$A$1:$Z$500,E$4,FALSE)),0,VLOOKUP($A31,DECRETI!$A$1:$Z$500,E$4,FALSE))</f>
        <v>921.4</v>
      </c>
      <c r="F31" s="297">
        <f>IF(ISERROR(VLOOKUP($A31,DECRETI!$A$1:$Z$500,F$4,FALSE)),0,VLOOKUP($A31,DECRETI!$A$1:$Z$500,F$4,FALSE))</f>
        <v>0</v>
      </c>
      <c r="G31" s="297">
        <f t="shared" si="3"/>
        <v>921.4</v>
      </c>
      <c r="H31" s="297">
        <f>IF(ISERROR(VLOOKUP($A31,DECRETI!$A$1:$Z$500,H$4,FALSE)),0,VLOOKUP($A31,DECRETI!$A$1:$Z$500,H$4,FALSE))</f>
        <v>0</v>
      </c>
      <c r="I31" s="297">
        <f t="shared" si="4"/>
        <v>921.4</v>
      </c>
      <c r="J31" s="17"/>
      <c r="K31" s="297">
        <f t="shared" si="5"/>
        <v>0</v>
      </c>
    </row>
    <row r="32" spans="1:11" ht="15.75" x14ac:dyDescent="0.25">
      <c r="A32" s="288" t="str">
        <f>+$C$3&amp;"_"&amp;B32&amp;"_"&amp;1</f>
        <v>702_C9TOT_1</v>
      </c>
      <c r="B32" s="17" t="s">
        <v>152</v>
      </c>
      <c r="C32" s="323" t="s">
        <v>153</v>
      </c>
      <c r="D32" s="324" t="s">
        <v>154</v>
      </c>
      <c r="E32" s="325">
        <f>SUM(E33:E37)</f>
        <v>54219</v>
      </c>
      <c r="F32" s="326">
        <f>SUM(F33:F37)</f>
        <v>0</v>
      </c>
      <c r="G32" s="325">
        <f t="shared" si="3"/>
        <v>54219</v>
      </c>
      <c r="H32" s="325">
        <f>SUM(H33:H37)</f>
        <v>0</v>
      </c>
      <c r="I32" s="325">
        <f t="shared" si="4"/>
        <v>54219</v>
      </c>
      <c r="J32" s="17"/>
      <c r="K32" s="325">
        <f t="shared" si="5"/>
        <v>0</v>
      </c>
    </row>
    <row r="33" spans="1:11" ht="15.75" x14ac:dyDescent="0.25">
      <c r="A33" s="288" t="str">
        <f>+$C$3&amp;"_"&amp;B33&amp;"_"&amp;1</f>
        <v>702_AOIR03_1</v>
      </c>
      <c r="B33" s="289" t="s">
        <v>155</v>
      </c>
      <c r="C33" s="323"/>
      <c r="D33" s="334" t="s">
        <v>156</v>
      </c>
      <c r="E33" s="297">
        <f>IF(ISERROR(VLOOKUP($A33,DECRETI!$A$1:$Z$500,E$4,FALSE)),0,VLOOKUP($A33,DECRETI!$A$1:$Z$500,E$4,FALSE))</f>
        <v>49960</v>
      </c>
      <c r="F33" s="297">
        <f>IF(ISERROR(VLOOKUP($A33,DECRETI!$A$1:$Z$500,F$4,FALSE)),0,VLOOKUP($A33,DECRETI!$A$1:$Z$500,F$4,FALSE))</f>
        <v>0</v>
      </c>
      <c r="G33" s="297">
        <f t="shared" si="3"/>
        <v>49960</v>
      </c>
      <c r="H33" s="297">
        <f>IF(ISERROR(VLOOKUP($A33,DECRETI!$A$1:$Z$500,H$4,FALSE)),0,VLOOKUP($A33,DECRETI!$A$1:$Z$500,H$4,FALSE))</f>
        <v>0</v>
      </c>
      <c r="I33" s="297">
        <f t="shared" si="4"/>
        <v>49960</v>
      </c>
      <c r="J33" s="17"/>
      <c r="K33" s="297">
        <f t="shared" ref="K33:K39" si="6">+E33+H33-I33</f>
        <v>0</v>
      </c>
    </row>
    <row r="34" spans="1:11" ht="15.75" x14ac:dyDescent="0.25">
      <c r="A34" s="288" t="str">
        <f>+$C$3&amp;"_"&amp;B34&amp;"_"&amp;1</f>
        <v>702_AOIR05_1</v>
      </c>
      <c r="B34" s="289" t="s">
        <v>157</v>
      </c>
      <c r="C34" s="323"/>
      <c r="D34" s="334" t="s">
        <v>158</v>
      </c>
      <c r="E34" s="297">
        <f>IF(ISERROR(VLOOKUP($A34,DECRETI!$A$1:$Z$500,E$4,FALSE)),0,VLOOKUP($A34,DECRETI!$A$1:$Z$500,E$4,FALSE))</f>
        <v>2537</v>
      </c>
      <c r="F34" s="297">
        <f>IF(ISERROR(VLOOKUP($A34,DECRETI!$A$1:$Z$500,F$4,FALSE)),0,VLOOKUP($A34,DECRETI!$A$1:$Z$500,F$4,FALSE))</f>
        <v>0</v>
      </c>
      <c r="G34" s="297">
        <f t="shared" si="3"/>
        <v>2537</v>
      </c>
      <c r="H34" s="297">
        <f>IF(ISERROR(VLOOKUP($A34,DECRETI!$A$1:$Z$500,H$4,FALSE)),0,VLOOKUP($A34,DECRETI!$A$1:$Z$500,H$4,FALSE))</f>
        <v>0</v>
      </c>
      <c r="I34" s="297">
        <f t="shared" si="4"/>
        <v>2537</v>
      </c>
      <c r="J34" s="17"/>
      <c r="K34" s="297">
        <f t="shared" si="6"/>
        <v>0</v>
      </c>
    </row>
    <row r="35" spans="1:11" ht="15.75" x14ac:dyDescent="0.25">
      <c r="A35" s="288" t="str">
        <f>+$C$3&amp;"_"&amp;B35&amp;"_"&amp;2</f>
        <v>702_AOIR03_2</v>
      </c>
      <c r="B35" s="289" t="s">
        <v>155</v>
      </c>
      <c r="C35" s="323"/>
      <c r="D35" s="334" t="s">
        <v>149</v>
      </c>
      <c r="E35" s="297">
        <f>IF(ISERROR(VLOOKUP($A35,DECRETI!$A$1:$Z$500,E$4,FALSE)),0,VLOOKUP($A35,DECRETI!$A$1:$Z$500,E$4,FALSE))</f>
        <v>1344</v>
      </c>
      <c r="F35" s="297">
        <f>IF(ISERROR(VLOOKUP($A35,DECRETI!$A$1:$Z$500,F$4,FALSE)),0,VLOOKUP($A35,DECRETI!$A$1:$Z$500,F$4,FALSE))</f>
        <v>0</v>
      </c>
      <c r="G35" s="297">
        <f t="shared" si="3"/>
        <v>1344</v>
      </c>
      <c r="H35" s="297">
        <f>IF(ISERROR(VLOOKUP($A35,DECRETI!$A$1:$Z$500,H$4,FALSE)),0,VLOOKUP($A35,DECRETI!$A$1:$Z$500,H$4,FALSE))</f>
        <v>0</v>
      </c>
      <c r="I35" s="297">
        <f t="shared" si="4"/>
        <v>1344</v>
      </c>
      <c r="J35" s="17"/>
      <c r="K35" s="297">
        <f t="shared" si="6"/>
        <v>0</v>
      </c>
    </row>
    <row r="36" spans="1:11" ht="15.75" x14ac:dyDescent="0.25">
      <c r="A36" s="288" t="str">
        <f>+$C$3&amp;"_"&amp;B36&amp;"_"&amp;3</f>
        <v>702_AOIR03_3</v>
      </c>
      <c r="B36" s="289" t="s">
        <v>155</v>
      </c>
      <c r="C36" s="323"/>
      <c r="D36" s="334" t="s">
        <v>150</v>
      </c>
      <c r="E36" s="297">
        <f>IF(ISERROR(VLOOKUP($A36,DECRETI!$A$1:$Z$500,E$4,FALSE)),0,VLOOKUP($A36,DECRETI!$A$1:$Z$500,E$4,FALSE))</f>
        <v>15</v>
      </c>
      <c r="F36" s="297">
        <f>IF(ISERROR(VLOOKUP($A36,DECRETI!$A$1:$Z$500,F$4,FALSE)),0,VLOOKUP($A36,DECRETI!$A$1:$Z$500,F$4,FALSE))</f>
        <v>0</v>
      </c>
      <c r="G36" s="297">
        <f t="shared" si="3"/>
        <v>15</v>
      </c>
      <c r="H36" s="297">
        <f>IF(ISERROR(VLOOKUP($A36,DECRETI!$A$1:$Z$500,H$4,FALSE)),0,VLOOKUP($A36,DECRETI!$A$1:$Z$500,H$4,FALSE))</f>
        <v>0</v>
      </c>
      <c r="I36" s="297">
        <f t="shared" si="4"/>
        <v>15</v>
      </c>
      <c r="J36" s="17"/>
      <c r="K36" s="297">
        <f t="shared" si="6"/>
        <v>0</v>
      </c>
    </row>
    <row r="37" spans="1:11" ht="15.75" x14ac:dyDescent="0.25">
      <c r="A37" s="288" t="str">
        <f>+$C$3&amp;"_"&amp;B37&amp;"_"&amp;4</f>
        <v>702_AOIR03_4</v>
      </c>
      <c r="B37" s="289" t="s">
        <v>155</v>
      </c>
      <c r="C37" s="320"/>
      <c r="D37" s="334" t="s">
        <v>159</v>
      </c>
      <c r="E37" s="297">
        <f>IF(ISERROR(VLOOKUP($A37,DECRETI!$A$1:$Z$500,E$4,FALSE)),0,VLOOKUP($A37,DECRETI!$A$1:$Z$500,E$4,FALSE))</f>
        <v>363</v>
      </c>
      <c r="F37" s="297">
        <f>IF(ISERROR(VLOOKUP($A37,DECRETI!$A$1:$Z$500,F$4,FALSE)),0,VLOOKUP($A37,DECRETI!$A$1:$Z$500,F$4,FALSE))</f>
        <v>0</v>
      </c>
      <c r="G37" s="297">
        <f t="shared" si="3"/>
        <v>363</v>
      </c>
      <c r="H37" s="297">
        <f>IF(ISERROR(VLOOKUP($A37,DECRETI!$A$1:$Z$500,H$4,FALSE)),0,VLOOKUP($A37,DECRETI!$A$1:$Z$500,H$4,FALSE))</f>
        <v>0</v>
      </c>
      <c r="I37" s="297">
        <f t="shared" si="4"/>
        <v>363</v>
      </c>
      <c r="J37" s="17"/>
      <c r="K37" s="297">
        <f t="shared" si="6"/>
        <v>0</v>
      </c>
    </row>
    <row r="38" spans="1:11" ht="15.75" x14ac:dyDescent="0.25">
      <c r="A38" s="288" t="str">
        <f>+$C$3&amp;"_"&amp;B38&amp;"_"&amp;1</f>
        <v>702_AOIR04_1</v>
      </c>
      <c r="B38" s="289" t="s">
        <v>160</v>
      </c>
      <c r="C38" s="335" t="s">
        <v>161</v>
      </c>
      <c r="D38" s="324" t="s">
        <v>162</v>
      </c>
      <c r="E38" s="325">
        <f>IF(ISERROR(VLOOKUP($A38,DECRETI!$A$1:$Z$500,E$4,FALSE)),0,VLOOKUP($A38,DECRETI!$A$1:$Z$500,E$4,FALSE))</f>
        <v>3172</v>
      </c>
      <c r="F38" s="326">
        <f>IF(ISERROR(VLOOKUP($A38,DECRETI!$A$1:$Z$500,F$4,FALSE)),0,VLOOKUP($A38,DECRETI!$A$1:$Z$500,F$4,FALSE))</f>
        <v>0</v>
      </c>
      <c r="G38" s="325">
        <f t="shared" si="3"/>
        <v>3172</v>
      </c>
      <c r="H38" s="325">
        <f>IF(ISERROR(VLOOKUP($A38,DECRETI!$A$1:$Z$500,H$4,FALSE)),0,VLOOKUP($A38,DECRETI!$A$1:$Z$500,H$4,FALSE))</f>
        <v>0</v>
      </c>
      <c r="I38" s="325">
        <f t="shared" si="4"/>
        <v>3172</v>
      </c>
      <c r="J38" s="17"/>
      <c r="K38" s="325">
        <f t="shared" si="6"/>
        <v>0</v>
      </c>
    </row>
    <row r="39" spans="1:11" ht="15.75" x14ac:dyDescent="0.25">
      <c r="A39" s="288" t="str">
        <f>+$C$3&amp;"_"&amp;B39&amp;"_"&amp;1</f>
        <v>702_AOIR08_1</v>
      </c>
      <c r="B39" s="289" t="s">
        <v>163</v>
      </c>
      <c r="C39" s="335" t="s">
        <v>164</v>
      </c>
      <c r="D39" s="324" t="s">
        <v>165</v>
      </c>
      <c r="E39" s="325">
        <f>IF(ISERROR(VLOOKUP($A39,DECRETI!$A$1:$Z$500,E$4,FALSE)),0,VLOOKUP($A39,DECRETI!$A$1:$Z$500,E$4,FALSE))</f>
        <v>10750</v>
      </c>
      <c r="F39" s="326">
        <f>IF(ISERROR(VLOOKUP($A39,DECRETI!$A$1:$Z$500,F$4,FALSE)),0,VLOOKUP($A39,DECRETI!$A$1:$Z$500,F$4,FALSE))</f>
        <v>0</v>
      </c>
      <c r="G39" s="325">
        <f t="shared" si="3"/>
        <v>10750</v>
      </c>
      <c r="H39" s="325">
        <f>IF(ISERROR(VLOOKUP($A39,DECRETI!$A$1:$Z$500,H$4,FALSE)),0,VLOOKUP($A39,DECRETI!$A$1:$Z$500,H$4,FALSE))</f>
        <v>0</v>
      </c>
      <c r="I39" s="325">
        <f t="shared" si="4"/>
        <v>10750</v>
      </c>
      <c r="J39" s="17"/>
      <c r="K39" s="325">
        <f t="shared" si="6"/>
        <v>0</v>
      </c>
    </row>
    <row r="40" spans="1:11" ht="15.75" x14ac:dyDescent="0.25">
      <c r="A40" s="288" t="str">
        <f>+$C$3&amp;"_"&amp;B40&amp;"_"&amp;1</f>
        <v>702_C12TOT_1</v>
      </c>
      <c r="B40" s="17" t="s">
        <v>166</v>
      </c>
      <c r="C40" s="323" t="s">
        <v>167</v>
      </c>
      <c r="D40" s="324" t="s">
        <v>168</v>
      </c>
      <c r="E40" s="325">
        <f>SUM(E41:E44)</f>
        <v>48526.466754445377</v>
      </c>
      <c r="F40" s="326">
        <f>SUM(F41:F44)</f>
        <v>0</v>
      </c>
      <c r="G40" s="325">
        <f t="shared" si="3"/>
        <v>48526.466754445377</v>
      </c>
      <c r="H40" s="325">
        <f>SUM(H41:H44)</f>
        <v>0</v>
      </c>
      <c r="I40" s="325">
        <f t="shared" ref="I40:I52" si="7">+G40+H40</f>
        <v>48526.466754445377</v>
      </c>
      <c r="J40" s="17"/>
      <c r="K40" s="325">
        <f t="shared" ref="K40:K45" si="8">+E40+H40-I40</f>
        <v>0</v>
      </c>
    </row>
    <row r="41" spans="1:11" ht="15.75" x14ac:dyDescent="0.25">
      <c r="A41" s="288" t="str">
        <f>+$C$3&amp;"_"&amp;B41&amp;"_"&amp;1</f>
        <v>702_AOIR09_1</v>
      </c>
      <c r="B41" s="289" t="s">
        <v>169</v>
      </c>
      <c r="C41" s="323"/>
      <c r="D41" s="334" t="s">
        <v>170</v>
      </c>
      <c r="E41" s="297">
        <f>IF(ISERROR(VLOOKUP($A41,DECRETI!$A$1:$Z$500,E$4,FALSE)),0,VLOOKUP($A41,DECRETI!$A$1:$Z$500,E$4,FALSE))</f>
        <v>25610.124467042806</v>
      </c>
      <c r="F41" s="297">
        <f>IF(ISERROR(VLOOKUP($A41,DECRETI!$A$1:$Z$500,F$4,FALSE)),0,VLOOKUP($A41,DECRETI!$A$1:$Z$500,F$4,FALSE))</f>
        <v>0</v>
      </c>
      <c r="G41" s="297">
        <f t="shared" si="3"/>
        <v>25610.124467042806</v>
      </c>
      <c r="H41" s="297">
        <f>IF(ISERROR(VLOOKUP($A41,DECRETI!$A$1:$Z$500,H$4,FALSE)),0,VLOOKUP($A41,DECRETI!$A$1:$Z$500,H$4,FALSE))</f>
        <v>0</v>
      </c>
      <c r="I41" s="297">
        <f t="shared" si="7"/>
        <v>25610.124467042806</v>
      </c>
      <c r="J41" s="17"/>
      <c r="K41" s="297">
        <f t="shared" si="8"/>
        <v>0</v>
      </c>
    </row>
    <row r="42" spans="1:11" ht="15.75" x14ac:dyDescent="0.25">
      <c r="A42" s="288" t="str">
        <f>+$C$3&amp;"_"&amp;B42&amp;"_"&amp;4</f>
        <v>702_AOIR09_4</v>
      </c>
      <c r="B42" s="289" t="s">
        <v>169</v>
      </c>
      <c r="C42" s="323"/>
      <c r="D42" s="334" t="s">
        <v>171</v>
      </c>
      <c r="E42" s="297">
        <f>IF(ISERROR(VLOOKUP($A42,DECRETI!$A$1:$Z$500,E$4,FALSE)),0,VLOOKUP($A42,DECRETI!$A$1:$Z$500,E$4,FALSE))</f>
        <v>19758.706999999999</v>
      </c>
      <c r="F42" s="297">
        <f>IF(ISERROR(VLOOKUP($A42,DECRETI!$A$1:$Z$500,F$4,FALSE)),0,VLOOKUP($A42,DECRETI!$A$1:$Z$500,F$4,FALSE))</f>
        <v>0</v>
      </c>
      <c r="G42" s="297">
        <f t="shared" si="3"/>
        <v>19758.706999999999</v>
      </c>
      <c r="H42" s="297">
        <f>IF(ISERROR(VLOOKUP($A42,DECRETI!$A$1:$Z$500,H$4,FALSE)),0,VLOOKUP($A42,DECRETI!$A$1:$Z$500,H$4,FALSE))</f>
        <v>0</v>
      </c>
      <c r="I42" s="297">
        <f t="shared" si="7"/>
        <v>19758.706999999999</v>
      </c>
      <c r="J42" s="17"/>
      <c r="K42" s="297">
        <f t="shared" si="8"/>
        <v>0</v>
      </c>
    </row>
    <row r="43" spans="1:11" ht="15.75" x14ac:dyDescent="0.25">
      <c r="A43" s="288" t="str">
        <f>+$C$3&amp;"_"&amp;B43&amp;"_"&amp;2</f>
        <v>702_AOIR09_2</v>
      </c>
      <c r="B43" s="289" t="s">
        <v>169</v>
      </c>
      <c r="C43" s="323"/>
      <c r="D43" s="322" t="s">
        <v>172</v>
      </c>
      <c r="E43" s="297">
        <f>IF(ISERROR(VLOOKUP($A43,DECRETI!$A$1:$Z$500,E$4,FALSE)),0,VLOOKUP($A43,DECRETI!$A$1:$Z$500,E$4,FALSE))</f>
        <v>2818.4047150344886</v>
      </c>
      <c r="F43" s="297">
        <f>IF(ISERROR(VLOOKUP($A43,DECRETI!$A$1:$Z$500,F$4,FALSE)),0,VLOOKUP($A43,DECRETI!$A$1:$Z$500,F$4,FALSE))</f>
        <v>0</v>
      </c>
      <c r="G43" s="297">
        <f t="shared" si="3"/>
        <v>2818.4047150344886</v>
      </c>
      <c r="H43" s="297">
        <f>IF(ISERROR(VLOOKUP($A43,DECRETI!$A$1:$Z$500,H$4,FALSE)),0,VLOOKUP($A43,DECRETI!$A$1:$Z$500,H$4,FALSE))</f>
        <v>0</v>
      </c>
      <c r="I43" s="297">
        <f t="shared" si="7"/>
        <v>2818.4047150344886</v>
      </c>
      <c r="J43" s="17"/>
      <c r="K43" s="297">
        <f t="shared" si="8"/>
        <v>0</v>
      </c>
    </row>
    <row r="44" spans="1:11" ht="15.75" x14ac:dyDescent="0.25">
      <c r="A44" s="288" t="str">
        <f>+$C$3&amp;"_"&amp;B44&amp;"_"&amp;3</f>
        <v>702_AOIR09_3</v>
      </c>
      <c r="B44" s="289" t="s">
        <v>169</v>
      </c>
      <c r="C44" s="335"/>
      <c r="D44" s="334" t="s">
        <v>173</v>
      </c>
      <c r="E44" s="297">
        <f>IF(ISERROR(VLOOKUP($A44,DECRETI!$A$1:$Z$500,E$4,FALSE)),0,VLOOKUP($A44,DECRETI!$A$1:$Z$500,E$4,FALSE))</f>
        <v>339.23057236808489</v>
      </c>
      <c r="F44" s="297">
        <f>IF(ISERROR(VLOOKUP($A44,DECRETI!$A$1:$Z$500,F$4,FALSE)),0,VLOOKUP($A44,DECRETI!$A$1:$Z$500,F$4,FALSE))</f>
        <v>0</v>
      </c>
      <c r="G44" s="297">
        <f t="shared" si="3"/>
        <v>339.23057236808489</v>
      </c>
      <c r="H44" s="297">
        <f>IF(ISERROR(VLOOKUP($A44,DECRETI!$A$1:$Z$500,H$4,FALSE)),0,VLOOKUP($A44,DECRETI!$A$1:$Z$500,H$4,FALSE))</f>
        <v>0</v>
      </c>
      <c r="I44" s="297">
        <f t="shared" si="7"/>
        <v>339.23057236808489</v>
      </c>
      <c r="J44" s="17"/>
      <c r="K44" s="297">
        <f t="shared" si="8"/>
        <v>0</v>
      </c>
    </row>
    <row r="45" spans="1:11" ht="15.75" x14ac:dyDescent="0.25">
      <c r="A45" s="288" t="str">
        <f>+$C$3&amp;"_"&amp;B45&amp;"_"&amp;1</f>
        <v>702_C13TOT_1</v>
      </c>
      <c r="B45" s="17" t="s">
        <v>174</v>
      </c>
      <c r="C45" s="323" t="s">
        <v>175</v>
      </c>
      <c r="D45" s="332" t="s">
        <v>176</v>
      </c>
      <c r="E45" s="325">
        <f>SUM(E46:E52)</f>
        <v>4547.7862783738219</v>
      </c>
      <c r="F45" s="326">
        <f>SUM(F46:F52)</f>
        <v>0</v>
      </c>
      <c r="G45" s="325">
        <f t="shared" si="3"/>
        <v>4547.7862783738219</v>
      </c>
      <c r="H45" s="325">
        <f>SUM(H46:H52)</f>
        <v>0</v>
      </c>
      <c r="I45" s="325">
        <f t="shared" si="7"/>
        <v>4547.7862783738219</v>
      </c>
      <c r="J45" s="17"/>
      <c r="K45" s="325">
        <f t="shared" si="8"/>
        <v>0</v>
      </c>
    </row>
    <row r="46" spans="1:11" ht="15.75" x14ac:dyDescent="0.25">
      <c r="A46" s="288" t="str">
        <f>+$C$3&amp;"_"&amp;B46&amp;"_"&amp;1</f>
        <v>702_AOIR15_1</v>
      </c>
      <c r="B46" s="289" t="s">
        <v>177</v>
      </c>
      <c r="C46" s="323"/>
      <c r="D46" s="322" t="s">
        <v>178</v>
      </c>
      <c r="E46" s="297">
        <f>IF(ISERROR(VLOOKUP($A46,DECRETI!$A$1:$Z$500,E$4,FALSE)),0,VLOOKUP($A46,DECRETI!$A$1:$Z$500,E$4,FALSE))</f>
        <v>3410.0941383738223</v>
      </c>
      <c r="F46" s="392">
        <f>IF(ISERROR(VLOOKUP($A46,DECRETI!$A$1:$Z$500,F$4,FALSE)),0,VLOOKUP($A46,DECRETI!$A$1:$Z$500,F$4,FALSE))</f>
        <v>0</v>
      </c>
      <c r="G46" s="325">
        <f t="shared" si="3"/>
        <v>3410.0941383738223</v>
      </c>
      <c r="H46" s="297">
        <f>IF(ISERROR(VLOOKUP($A46,DECRETI!$A$1:$Z$500,H$4,FALSE)),0,VLOOKUP($A46,DECRETI!$A$1:$Z$500,H$4,FALSE))</f>
        <v>0</v>
      </c>
      <c r="I46" s="297">
        <f t="shared" si="7"/>
        <v>3410.0941383738223</v>
      </c>
      <c r="J46" s="17"/>
      <c r="K46" s="297">
        <f t="shared" ref="K46:K52" si="9">+E46+H46-I46</f>
        <v>0</v>
      </c>
    </row>
    <row r="47" spans="1:11" ht="15.75" x14ac:dyDescent="0.25">
      <c r="A47" s="288" t="str">
        <f>+$C$3&amp;"_"&amp;B47&amp;"_"&amp;2</f>
        <v>702_AOIR15_2</v>
      </c>
      <c r="B47" s="289" t="s">
        <v>177</v>
      </c>
      <c r="C47" s="323"/>
      <c r="D47" s="322" t="s">
        <v>179</v>
      </c>
      <c r="E47" s="297">
        <f>IF(ISERROR(VLOOKUP($A47,DECRETI!$A$1:$Z$500,E$4,FALSE)),0,VLOOKUP($A47,DECRETI!$A$1:$Z$500,E$4,FALSE))</f>
        <v>146.19214000000002</v>
      </c>
      <c r="F47" s="297">
        <f>IF(ISERROR(VLOOKUP($A47,DECRETI!$A$1:$Z$500,F$4,FALSE)),0,VLOOKUP($A47,DECRETI!$A$1:$Z$500,F$4,FALSE))</f>
        <v>0</v>
      </c>
      <c r="G47" s="297">
        <f t="shared" si="3"/>
        <v>146.19214000000002</v>
      </c>
      <c r="H47" s="297">
        <f>IF(ISERROR(VLOOKUP($A47,DECRETI!$A$1:$Z$500,H$4,FALSE)),0,VLOOKUP($A47,DECRETI!$A$1:$Z$500,H$4,FALSE))</f>
        <v>0</v>
      </c>
      <c r="I47" s="297">
        <f t="shared" si="7"/>
        <v>146.19214000000002</v>
      </c>
      <c r="J47" s="17"/>
      <c r="K47" s="297">
        <f t="shared" si="9"/>
        <v>0</v>
      </c>
    </row>
    <row r="48" spans="1:11" ht="15.75" x14ac:dyDescent="0.25">
      <c r="A48" s="288" t="str">
        <f>+$C$3&amp;"_"&amp;B48&amp;"_"&amp;3</f>
        <v>702_AOIR15_3</v>
      </c>
      <c r="B48" s="289" t="s">
        <v>177</v>
      </c>
      <c r="C48" s="323"/>
      <c r="D48" s="322" t="s">
        <v>180</v>
      </c>
      <c r="E48" s="297">
        <f>IF(ISERROR(VLOOKUP($A48,DECRETI!$A$1:$Z$500,E$4,FALSE)),0,VLOOKUP($A48,DECRETI!$A$1:$Z$500,E$4,FALSE))</f>
        <v>0</v>
      </c>
      <c r="F48" s="297">
        <f>IF(ISERROR(VLOOKUP($A48,DECRETI!$A$1:$Z$500,F$4,FALSE)),0,VLOOKUP($A48,DECRETI!$A$1:$Z$500,F$4,FALSE))</f>
        <v>0</v>
      </c>
      <c r="G48" s="297">
        <f t="shared" si="3"/>
        <v>0</v>
      </c>
      <c r="H48" s="297">
        <f>IF(ISERROR(VLOOKUP($A48,DECRETI!$A$1:$Z$500,H$4,FALSE)),0,VLOOKUP($A48,DECRETI!$A$1:$Z$500,H$4,FALSE))</f>
        <v>0</v>
      </c>
      <c r="I48" s="297">
        <f t="shared" si="7"/>
        <v>0</v>
      </c>
      <c r="J48" s="17"/>
      <c r="K48" s="297">
        <f t="shared" si="9"/>
        <v>0</v>
      </c>
    </row>
    <row r="49" spans="1:11" ht="15.75" x14ac:dyDescent="0.25">
      <c r="A49" s="288" t="str">
        <f>+$C$3&amp;"_"&amp;B49&amp;"_"&amp;4</f>
        <v>702_AOIR15_4</v>
      </c>
      <c r="B49" s="289" t="s">
        <v>177</v>
      </c>
      <c r="C49" s="323"/>
      <c r="D49" s="322" t="s">
        <v>181</v>
      </c>
      <c r="E49" s="297">
        <f>IF(ISERROR(VLOOKUP($A49,DECRETI!$A$1:$Z$500,E$4,FALSE)),0,VLOOKUP($A49,DECRETI!$A$1:$Z$500,E$4,FALSE))</f>
        <v>0</v>
      </c>
      <c r="F49" s="297">
        <f>IF(ISERROR(VLOOKUP($A49,DECRETI!$A$1:$Z$500,F$4,FALSE)),0,VLOOKUP($A49,DECRETI!$A$1:$Z$500,F$4,FALSE))</f>
        <v>0</v>
      </c>
      <c r="G49" s="297">
        <f t="shared" si="3"/>
        <v>0</v>
      </c>
      <c r="H49" s="297">
        <f>IF(ISERROR(VLOOKUP($A49,DECRETI!$A$1:$Z$500,H$4,FALSE)),0,VLOOKUP($A49,DECRETI!$A$1:$Z$500,H$4,FALSE))</f>
        <v>0</v>
      </c>
      <c r="I49" s="297">
        <f t="shared" si="7"/>
        <v>0</v>
      </c>
      <c r="J49" s="17"/>
      <c r="K49" s="297">
        <f t="shared" si="9"/>
        <v>0</v>
      </c>
    </row>
    <row r="50" spans="1:11" ht="15.75" x14ac:dyDescent="0.25">
      <c r="A50" s="288" t="str">
        <f>+$C$3&amp;"_"&amp;B50&amp;"_"&amp;5</f>
        <v>702_AOIR15_5</v>
      </c>
      <c r="B50" s="289" t="s">
        <v>177</v>
      </c>
      <c r="C50" s="323"/>
      <c r="D50" s="322" t="s">
        <v>182</v>
      </c>
      <c r="E50" s="297">
        <f>IF(ISERROR(VLOOKUP($A50,DECRETI!$A$1:$Z$500,E$4,FALSE)),0,VLOOKUP($A50,DECRETI!$A$1:$Z$500,E$4,FALSE))</f>
        <v>420</v>
      </c>
      <c r="F50" s="297">
        <f>IF(ISERROR(VLOOKUP($A50,DECRETI!$A$1:$Z$500,F$4,FALSE)),0,VLOOKUP($A50,DECRETI!$A$1:$Z$500,F$4,FALSE))</f>
        <v>0</v>
      </c>
      <c r="G50" s="297">
        <f t="shared" si="3"/>
        <v>420</v>
      </c>
      <c r="H50" s="297">
        <f>IF(ISERROR(VLOOKUP($A50,DECRETI!$A$1:$Z$500,H$4,FALSE)),0,VLOOKUP($A50,DECRETI!$A$1:$Z$500,H$4,FALSE))</f>
        <v>0</v>
      </c>
      <c r="I50" s="297">
        <f t="shared" si="7"/>
        <v>420</v>
      </c>
      <c r="J50" s="17"/>
      <c r="K50" s="297">
        <f t="shared" si="9"/>
        <v>0</v>
      </c>
    </row>
    <row r="51" spans="1:11" s="408" customFormat="1" ht="15.75" x14ac:dyDescent="0.25">
      <c r="A51" s="288" t="str">
        <f>+$C$3&amp;"_"&amp;B51&amp;"_"&amp;7</f>
        <v>702_AOIR15_7</v>
      </c>
      <c r="B51" s="289" t="s">
        <v>177</v>
      </c>
      <c r="C51" s="429"/>
      <c r="D51" s="430" t="s">
        <v>183</v>
      </c>
      <c r="E51" s="431">
        <f>IF(ISERROR(VLOOKUP($A51,DECRETI!$A$1:$Z$500,E$4,FALSE)),0,VLOOKUP($A51,DECRETI!$A$1:$Z$500,E$4,FALSE))</f>
        <v>399.5</v>
      </c>
      <c r="F51" s="431">
        <f>IF(ISERROR(VLOOKUP($A51,DECRETI!$A$1:$Z$500,F$4,FALSE)),0,VLOOKUP($A51,DECRETI!$A$1:$Z$500,F$4,FALSE))</f>
        <v>0</v>
      </c>
      <c r="G51" s="431">
        <f>+E51+F51</f>
        <v>399.5</v>
      </c>
      <c r="H51" s="431">
        <f>IF(ISERROR(VLOOKUP($A51,DECRETI!$A$1:$Z$500,H$4,FALSE)),0,VLOOKUP($A51,DECRETI!$A$1:$Z$500,H$4,FALSE))</f>
        <v>0</v>
      </c>
      <c r="I51" s="431">
        <f>+G51+H51</f>
        <v>399.5</v>
      </c>
      <c r="J51" s="17"/>
      <c r="K51" s="431"/>
    </row>
    <row r="52" spans="1:11" ht="15.75" x14ac:dyDescent="0.25">
      <c r="A52" s="288" t="str">
        <f>+$C$3&amp;"_"&amp;B52&amp;"_"&amp;6</f>
        <v>702_AOIR15_6</v>
      </c>
      <c r="B52" s="289" t="s">
        <v>177</v>
      </c>
      <c r="C52" s="336"/>
      <c r="D52" s="337" t="s">
        <v>184</v>
      </c>
      <c r="E52" s="338">
        <f>IF(ISERROR(VLOOKUP($A52,DECRETI!$A$1:$Z$500,E$4,FALSE)),0,VLOOKUP($A52,DECRETI!$A$1:$Z$500,E$4,FALSE))</f>
        <v>172</v>
      </c>
      <c r="F52" s="338">
        <f>IF(ISERROR(VLOOKUP($A52,DECRETI!$A$1:$Z$500,F$4,FALSE)),0,VLOOKUP($A52,DECRETI!$A$1:$Z$500,F$4,FALSE))</f>
        <v>0</v>
      </c>
      <c r="G52" s="338">
        <f t="shared" si="3"/>
        <v>172</v>
      </c>
      <c r="H52" s="338">
        <f>IF(ISERROR(VLOOKUP($A52,DECRETI!$A$1:$Z$500,H$4,FALSE)),0,VLOOKUP($A52,DECRETI!$A$1:$Z$500,H$4,FALSE))</f>
        <v>0</v>
      </c>
      <c r="I52" s="338">
        <f t="shared" si="7"/>
        <v>172</v>
      </c>
      <c r="J52" s="17"/>
      <c r="K52" s="338">
        <f t="shared" si="9"/>
        <v>0</v>
      </c>
    </row>
    <row r="53" spans="1:11" ht="15.75" x14ac:dyDescent="0.25">
      <c r="A53" s="17"/>
      <c r="B53" s="17"/>
      <c r="C53" s="312"/>
      <c r="D53" s="313"/>
      <c r="E53" s="314"/>
      <c r="F53" s="314"/>
      <c r="G53" s="314"/>
      <c r="H53" s="314"/>
      <c r="I53" s="315"/>
      <c r="J53" s="17"/>
      <c r="K53" s="304"/>
    </row>
    <row r="54" spans="1:11" ht="31.5" x14ac:dyDescent="0.25">
      <c r="A54" s="286"/>
      <c r="B54" s="287"/>
      <c r="C54" s="301" t="s">
        <v>185</v>
      </c>
      <c r="D54" s="309" t="s">
        <v>186</v>
      </c>
      <c r="E54" s="310"/>
      <c r="F54" s="310"/>
      <c r="G54" s="310"/>
      <c r="H54" s="310"/>
      <c r="I54" s="311"/>
      <c r="J54" s="17"/>
      <c r="K54" s="302"/>
    </row>
    <row r="55" spans="1:11" ht="15.75" x14ac:dyDescent="0.25">
      <c r="A55" s="17"/>
      <c r="B55" s="17"/>
      <c r="C55" s="312"/>
      <c r="D55" s="313"/>
      <c r="E55" s="314"/>
      <c r="F55" s="314"/>
      <c r="G55" s="314"/>
      <c r="H55" s="314"/>
      <c r="I55" s="315"/>
      <c r="J55" s="17"/>
      <c r="K55" s="303"/>
    </row>
    <row r="56" spans="1:11" ht="15.75" x14ac:dyDescent="0.25">
      <c r="A56" s="288" t="str">
        <f t="shared" ref="A56:A67" si="10">+$C$3&amp;"_"&amp;B56&amp;"_"&amp;1</f>
        <v>702_D1TOT_1</v>
      </c>
      <c r="B56" s="17" t="s">
        <v>187</v>
      </c>
      <c r="C56" s="316" t="s">
        <v>114</v>
      </c>
      <c r="D56" s="331" t="s">
        <v>188</v>
      </c>
      <c r="E56" s="339">
        <f>+E57+E61+E62+E64+E65+E66+E67+E63</f>
        <v>376065.14885165961</v>
      </c>
      <c r="F56" s="339">
        <f>+F57+F61+F62+F64+F65+F66+F67+F63</f>
        <v>0</v>
      </c>
      <c r="G56" s="318">
        <f t="shared" ref="G56:G67" si="11">+E56+F56</f>
        <v>376065.14885165961</v>
      </c>
      <c r="H56" s="318">
        <f>+H57+H61+H62+H64+H65+H66+H67</f>
        <v>1226</v>
      </c>
      <c r="I56" s="318">
        <f>+G56+H56</f>
        <v>377291.14885165961</v>
      </c>
      <c r="J56" s="17"/>
      <c r="K56" s="318">
        <f>+E56+H56-I56</f>
        <v>0</v>
      </c>
    </row>
    <row r="57" spans="1:11" ht="15.75" x14ac:dyDescent="0.25">
      <c r="A57" s="288" t="str">
        <f t="shared" si="10"/>
        <v>702_AOIC01_1</v>
      </c>
      <c r="B57" s="289" t="s">
        <v>189</v>
      </c>
      <c r="C57" s="320"/>
      <c r="D57" s="334" t="s">
        <v>190</v>
      </c>
      <c r="E57" s="297">
        <f>IF(ISERROR(VLOOKUP($A57,DECRETI!$A$1:$Z$500,E$4,FALSE)),0,VLOOKUP($A57,DECRETI!$A$1:$Z$500,E$4,FALSE))</f>
        <v>181982.12183552099</v>
      </c>
      <c r="F57" s="297">
        <f>IF(ISERROR(VLOOKUP($A57,DECRETI!$A$1:$Z$500,F$4,FALSE)),0,VLOOKUP($A57,DECRETI!$A$1:$Z$500,F$4,FALSE))</f>
        <v>0</v>
      </c>
      <c r="G57" s="297">
        <f t="shared" si="11"/>
        <v>181982.12183552099</v>
      </c>
      <c r="H57" s="297">
        <f>IF(ISERROR(VLOOKUP($A57,DECRETI!$A$1:$Z$500,H$4,FALSE)),0,VLOOKUP($A57,DECRETI!$A$1:$Z$500,H$4,FALSE))</f>
        <v>1042</v>
      </c>
      <c r="I57" s="297">
        <f t="shared" ref="I57:I67" si="12">+G57+H57</f>
        <v>183024.12183552099</v>
      </c>
      <c r="J57" s="17"/>
      <c r="K57" s="297">
        <f t="shared" ref="K57:K67" si="13">+E57+H57-I57</f>
        <v>0</v>
      </c>
    </row>
    <row r="58" spans="1:11" ht="15.75" x14ac:dyDescent="0.25">
      <c r="A58" s="288" t="str">
        <f t="shared" si="10"/>
        <v>702_ONPERS_1</v>
      </c>
      <c r="B58" s="290" t="s">
        <v>191</v>
      </c>
      <c r="C58" s="323"/>
      <c r="D58" s="340" t="s">
        <v>192</v>
      </c>
      <c r="E58" s="297">
        <f>IF(ISERROR(VLOOKUP($A58,DECRETI!$A$1:$Z$500,E$4,FALSE)),0,VLOOKUP($A58,DECRETI!$A$1:$Z$500,E$4,FALSE))</f>
        <v>177904.12183552099</v>
      </c>
      <c r="F58" s="297">
        <f>IF(ISERROR(VLOOKUP($A58,DECRETI!$A$1:$Z$500,F$4,FALSE)),0,VLOOKUP($A58,DECRETI!$A$1:$Z$500,F$4,FALSE))</f>
        <v>0</v>
      </c>
      <c r="G58" s="297">
        <f t="shared" si="11"/>
        <v>177904.12183552099</v>
      </c>
      <c r="H58" s="297">
        <f>IF(ISERROR(VLOOKUP($A58,DECRETI!$A$1:$Z$500,H$4,FALSE)),0,VLOOKUP($A58,DECRETI!$A$1:$Z$500,H$4,FALSE))</f>
        <v>1042</v>
      </c>
      <c r="I58" s="297">
        <f t="shared" si="12"/>
        <v>178946.12183552099</v>
      </c>
      <c r="J58" s="17"/>
      <c r="K58" s="297">
        <f t="shared" si="13"/>
        <v>0</v>
      </c>
    </row>
    <row r="59" spans="1:11" ht="15.75" x14ac:dyDescent="0.25">
      <c r="A59" s="288" t="str">
        <f t="shared" si="10"/>
        <v>702_ONCOMP_1</v>
      </c>
      <c r="B59" s="290" t="s">
        <v>193</v>
      </c>
      <c r="C59" s="323"/>
      <c r="D59" s="340" t="s">
        <v>194</v>
      </c>
      <c r="E59" s="297">
        <f>IF(ISERROR(VLOOKUP($A59,DECRETI!$A$1:$Z$500,E$4,FALSE)),0,VLOOKUP($A59,DECRETI!$A$1:$Z$500,E$4,FALSE))</f>
        <v>2912</v>
      </c>
      <c r="F59" s="297">
        <f>IF(ISERROR(VLOOKUP($A59,DECRETI!$A$1:$Z$500,F$4,FALSE)),0,VLOOKUP($A59,DECRETI!$A$1:$Z$500,F$4,FALSE))</f>
        <v>0</v>
      </c>
      <c r="G59" s="297">
        <f t="shared" si="11"/>
        <v>2912</v>
      </c>
      <c r="H59" s="297">
        <f>IF(ISERROR(VLOOKUP($A59,DECRETI!$A$1:$Z$500,H$4,FALSE)),0,VLOOKUP($A59,DECRETI!$A$1:$Z$500,H$4,FALSE))</f>
        <v>0</v>
      </c>
      <c r="I59" s="297">
        <f t="shared" si="12"/>
        <v>2912</v>
      </c>
      <c r="J59" s="17"/>
      <c r="K59" s="297">
        <f t="shared" si="13"/>
        <v>0</v>
      </c>
    </row>
    <row r="60" spans="1:11" ht="15.75" x14ac:dyDescent="0.25">
      <c r="A60" s="288" t="str">
        <f t="shared" si="10"/>
        <v>702_ONDIR_1</v>
      </c>
      <c r="B60" s="290" t="s">
        <v>195</v>
      </c>
      <c r="C60" s="335"/>
      <c r="D60" s="340" t="s">
        <v>196</v>
      </c>
      <c r="E60" s="297">
        <f>IF(ISERROR(VLOOKUP($A60,DECRETI!$A$1:$Z$500,E$4,FALSE)),0,VLOOKUP($A60,DECRETI!$A$1:$Z$500,E$4,FALSE))</f>
        <v>1166</v>
      </c>
      <c r="F60" s="297">
        <f>IF(ISERROR(VLOOKUP($A60,DECRETI!$A$1:$Z$500,F$4,FALSE)),0,VLOOKUP($A60,DECRETI!$A$1:$Z$500,F$4,FALSE))</f>
        <v>0</v>
      </c>
      <c r="G60" s="297">
        <f t="shared" si="11"/>
        <v>1166</v>
      </c>
      <c r="H60" s="297">
        <f>IF(ISERROR(VLOOKUP($A60,DECRETI!$A$1:$Z$500,H$4,FALSE)),0,VLOOKUP($A60,DECRETI!$A$1:$Z$500,H$4,FALSE))</f>
        <v>0</v>
      </c>
      <c r="I60" s="297">
        <f t="shared" si="12"/>
        <v>1166</v>
      </c>
      <c r="J60" s="17"/>
      <c r="K60" s="297">
        <f t="shared" si="13"/>
        <v>0</v>
      </c>
    </row>
    <row r="61" spans="1:11" ht="15.75" x14ac:dyDescent="0.25">
      <c r="A61" s="288" t="str">
        <f t="shared" si="10"/>
        <v>702_AOIC02_1</v>
      </c>
      <c r="B61" s="289" t="s">
        <v>197</v>
      </c>
      <c r="C61" s="320"/>
      <c r="D61" s="322" t="s">
        <v>198</v>
      </c>
      <c r="E61" s="297">
        <f>IF(ISERROR(VLOOKUP($A61,DECRETI!$A$1:$Z$500,E$4,FALSE)),0,VLOOKUP($A61,DECRETI!$A$1:$Z$500,E$4,FALSE))</f>
        <v>12119</v>
      </c>
      <c r="F61" s="297">
        <f>IF(ISERROR(VLOOKUP($A61,DECRETI!$A$1:$Z$500,F$4,FALSE)),0,VLOOKUP($A61,DECRETI!$A$1:$Z$500,F$4,FALSE))</f>
        <v>0</v>
      </c>
      <c r="G61" s="297">
        <f t="shared" si="11"/>
        <v>12119</v>
      </c>
      <c r="H61" s="297">
        <f>IF(ISERROR(VLOOKUP($A61,DECRETI!$A$1:$Z$500,H$4,FALSE)),0,VLOOKUP($A61,DECRETI!$A$1:$Z$500,H$4,FALSE))</f>
        <v>74</v>
      </c>
      <c r="I61" s="297">
        <f t="shared" si="12"/>
        <v>12193</v>
      </c>
      <c r="J61" s="17"/>
      <c r="K61" s="297">
        <f t="shared" si="13"/>
        <v>0</v>
      </c>
    </row>
    <row r="62" spans="1:11" ht="15.75" x14ac:dyDescent="0.25">
      <c r="A62" s="288" t="str">
        <f t="shared" si="10"/>
        <v>702_AOIC04_1</v>
      </c>
      <c r="B62" s="289" t="s">
        <v>199</v>
      </c>
      <c r="C62" s="320"/>
      <c r="D62" s="322" t="s">
        <v>200</v>
      </c>
      <c r="E62" s="297">
        <f>IF(ISERROR(VLOOKUP($A62,DECRETI!$A$1:$Z$500,E$4,FALSE)),0,VLOOKUP($A62,DECRETI!$A$1:$Z$500,E$4,FALSE))</f>
        <v>171184.02701613863</v>
      </c>
      <c r="F62" s="297">
        <f>IF(ISERROR(VLOOKUP($A62,DECRETI!$A$1:$Z$500,F$4,FALSE)),0,VLOOKUP($A62,DECRETI!$A$1:$Z$500,F$4,FALSE))</f>
        <v>0</v>
      </c>
      <c r="G62" s="297">
        <f t="shared" si="11"/>
        <v>171184.02701613863</v>
      </c>
      <c r="H62" s="297">
        <f>IF(ISERROR(VLOOKUP($A62,DECRETI!$A$1:$Z$500,H$4,FALSE)),0,VLOOKUP($A62,DECRETI!$A$1:$Z$500,H$4,FALSE))</f>
        <v>105</v>
      </c>
      <c r="I62" s="297">
        <f t="shared" si="12"/>
        <v>171289.02701613863</v>
      </c>
      <c r="J62" s="17"/>
      <c r="K62" s="297">
        <f t="shared" si="13"/>
        <v>0</v>
      </c>
    </row>
    <row r="63" spans="1:11" ht="15.75" x14ac:dyDescent="0.25">
      <c r="A63" s="288" t="str">
        <f t="shared" si="10"/>
        <v>702_AOIC17_1</v>
      </c>
      <c r="B63" s="289" t="s">
        <v>201</v>
      </c>
      <c r="C63" s="320"/>
      <c r="D63" s="322" t="s">
        <v>202</v>
      </c>
      <c r="E63" s="297">
        <f>IF(ISERROR(VLOOKUP($A63,DECRETI!$A$1:$Z$500,E$4,FALSE)),0,VLOOKUP($A63,DECRETI!$A$1:$Z$500,E$4,FALSE))</f>
        <v>0</v>
      </c>
      <c r="F63" s="297">
        <f>IF(ISERROR(VLOOKUP($A63,DECRETI!$A$1:$Z$500,F$4,FALSE)),0,VLOOKUP($A63,DECRETI!$A$1:$Z$500,F$4,FALSE))</f>
        <v>0</v>
      </c>
      <c r="G63" s="297">
        <f t="shared" si="11"/>
        <v>0</v>
      </c>
      <c r="H63" s="297">
        <f>IF(ISERROR(VLOOKUP($A63,DECRETI!$A$1:$Z$500,H$4,FALSE)),0,VLOOKUP($A63,DECRETI!$A$1:$Z$500,H$4,FALSE))</f>
        <v>0</v>
      </c>
      <c r="I63" s="297">
        <f t="shared" si="12"/>
        <v>0</v>
      </c>
      <c r="J63" s="17"/>
      <c r="K63" s="297">
        <f t="shared" si="13"/>
        <v>0</v>
      </c>
    </row>
    <row r="64" spans="1:11" ht="15.75" x14ac:dyDescent="0.25">
      <c r="A64" s="288" t="str">
        <f t="shared" si="10"/>
        <v>702_AOIC06_1</v>
      </c>
      <c r="B64" s="289" t="s">
        <v>203</v>
      </c>
      <c r="C64" s="320"/>
      <c r="D64" s="322" t="s">
        <v>204</v>
      </c>
      <c r="E64" s="297">
        <f>IF(ISERROR(VLOOKUP($A64,DECRETI!$A$1:$Z$500,E$4,FALSE)),0,VLOOKUP($A64,DECRETI!$A$1:$Z$500,E$4,FALSE))</f>
        <v>6875</v>
      </c>
      <c r="F64" s="297">
        <f>IF(ISERROR(VLOOKUP($A64,DECRETI!$A$1:$Z$500,F$4,FALSE)),0,VLOOKUP($A64,DECRETI!$A$1:$Z$500,F$4,FALSE))</f>
        <v>0</v>
      </c>
      <c r="G64" s="297">
        <f t="shared" si="11"/>
        <v>6875</v>
      </c>
      <c r="H64" s="297">
        <f>IF(ISERROR(VLOOKUP($A64,DECRETI!$A$1:$Z$500,H$4,FALSE)),0,VLOOKUP($A64,DECRETI!$A$1:$Z$500,H$4,FALSE))</f>
        <v>3</v>
      </c>
      <c r="I64" s="297">
        <f t="shared" si="12"/>
        <v>6878</v>
      </c>
      <c r="J64" s="17"/>
      <c r="K64" s="297">
        <f t="shared" si="13"/>
        <v>0</v>
      </c>
    </row>
    <row r="65" spans="1:11" ht="15.75" x14ac:dyDescent="0.25">
      <c r="A65" s="288" t="str">
        <f t="shared" si="10"/>
        <v>702_AOIC05_1</v>
      </c>
      <c r="B65" s="289" t="s">
        <v>205</v>
      </c>
      <c r="C65" s="320"/>
      <c r="D65" s="322" t="s">
        <v>206</v>
      </c>
      <c r="E65" s="297">
        <f>IF(ISERROR(VLOOKUP($A65,DECRETI!$A$1:$Z$500,E$4,FALSE)),0,VLOOKUP($A65,DECRETI!$A$1:$Z$500,E$4,FALSE))</f>
        <v>1753</v>
      </c>
      <c r="F65" s="297">
        <f>IF(ISERROR(VLOOKUP($A65,DECRETI!$A$1:$Z$500,F$4,FALSE)),0,VLOOKUP($A65,DECRETI!$A$1:$Z$500,F$4,FALSE))</f>
        <v>0</v>
      </c>
      <c r="G65" s="297">
        <f t="shared" si="11"/>
        <v>1753</v>
      </c>
      <c r="H65" s="297">
        <f>IF(ISERROR(VLOOKUP($A65,DECRETI!$A$1:$Z$500,H$4,FALSE)),0,VLOOKUP($A65,DECRETI!$A$1:$Z$500,H$4,FALSE))</f>
        <v>2</v>
      </c>
      <c r="I65" s="297">
        <f t="shared" si="12"/>
        <v>1755</v>
      </c>
      <c r="J65" s="17"/>
      <c r="K65" s="297">
        <f t="shared" si="13"/>
        <v>0</v>
      </c>
    </row>
    <row r="66" spans="1:11" ht="15.75" x14ac:dyDescent="0.25">
      <c r="A66" s="288" t="str">
        <f t="shared" si="10"/>
        <v>702_AOIC07_1</v>
      </c>
      <c r="B66" s="289" t="s">
        <v>207</v>
      </c>
      <c r="C66" s="320"/>
      <c r="D66" s="334" t="s">
        <v>208</v>
      </c>
      <c r="E66" s="297">
        <f>IF(ISERROR(VLOOKUP($A66,DECRETI!$A$1:$Z$500,E$4,FALSE)),0,VLOOKUP($A66,DECRETI!$A$1:$Z$500,E$4,FALSE))</f>
        <v>2152</v>
      </c>
      <c r="F66" s="297">
        <f>IF(ISERROR(VLOOKUP($A66,DECRETI!$A$1:$Z$500,F$4,FALSE)),0,VLOOKUP($A66,DECRETI!$A$1:$Z$500,F$4,FALSE))</f>
        <v>0</v>
      </c>
      <c r="G66" s="297">
        <f t="shared" si="11"/>
        <v>2152</v>
      </c>
      <c r="H66" s="297">
        <f>IF(ISERROR(VLOOKUP($A66,DECRETI!$A$1:$Z$500,H$4,FALSE)),0,VLOOKUP($A66,DECRETI!$A$1:$Z$500,H$4,FALSE))</f>
        <v>0</v>
      </c>
      <c r="I66" s="297">
        <f t="shared" si="12"/>
        <v>2152</v>
      </c>
      <c r="J66" s="17"/>
      <c r="K66" s="297">
        <f t="shared" si="13"/>
        <v>0</v>
      </c>
    </row>
    <row r="67" spans="1:11" ht="15.75" x14ac:dyDescent="0.25">
      <c r="A67" s="288" t="str">
        <f t="shared" si="10"/>
        <v>702_AOIC08_1</v>
      </c>
      <c r="B67" s="289" t="s">
        <v>209</v>
      </c>
      <c r="C67" s="336"/>
      <c r="D67" s="341" t="s">
        <v>210</v>
      </c>
      <c r="E67" s="338">
        <f>IF(ISERROR(VLOOKUP($A67,DECRETI!$A$1:$Z$500,E$4,FALSE)),0,VLOOKUP($A67,DECRETI!$A$1:$Z$500,E$4,FALSE))</f>
        <v>0</v>
      </c>
      <c r="F67" s="338">
        <f>IF(ISERROR(VLOOKUP($A67,DECRETI!$A$1:$Z$500,F$4,FALSE)),0,VLOOKUP($A67,DECRETI!$A$1:$Z$500,F$4,FALSE))</f>
        <v>0</v>
      </c>
      <c r="G67" s="338">
        <f t="shared" si="11"/>
        <v>0</v>
      </c>
      <c r="H67" s="338">
        <f>IF(ISERROR(VLOOKUP($A67,DECRETI!$A$1:$Z$500,H$4,FALSE)),0,VLOOKUP($A67,DECRETI!$A$1:$Z$500,H$4,FALSE))</f>
        <v>0</v>
      </c>
      <c r="I67" s="338">
        <f t="shared" si="12"/>
        <v>0</v>
      </c>
      <c r="J67" s="17"/>
      <c r="K67" s="338">
        <f t="shared" si="13"/>
        <v>0</v>
      </c>
    </row>
    <row r="68" spans="1:11" ht="15.75" x14ac:dyDescent="0.25">
      <c r="A68" s="17"/>
      <c r="B68" s="17"/>
      <c r="C68" s="278"/>
      <c r="D68" s="291"/>
      <c r="E68" s="291"/>
      <c r="F68" s="291"/>
      <c r="G68" s="291"/>
      <c r="H68" s="291"/>
      <c r="I68" s="291"/>
      <c r="J68" s="17"/>
      <c r="K68" s="17"/>
    </row>
    <row r="69" spans="1:11" ht="15.75" x14ac:dyDescent="0.25">
      <c r="A69" s="288" t="str">
        <f t="shared" ref="A69:A78" si="14">+$C$3&amp;"_"&amp;B69&amp;"_"&amp;1</f>
        <v>702_NOTA0_1</v>
      </c>
      <c r="B69" s="17" t="s">
        <v>211</v>
      </c>
      <c r="C69" s="292" t="s">
        <v>212</v>
      </c>
      <c r="D69" s="438" t="str">
        <f>IF(ISERROR(VLOOKUP($A69,NOTE!$A$1:$Z$500,4,FALSE)),"",VLOOKUP($A69,NOTE!$A$1:$Z$500,4,FALSE))</f>
        <v/>
      </c>
      <c r="E69" s="439"/>
      <c r="F69" s="439"/>
      <c r="G69" s="439"/>
      <c r="H69" s="439"/>
      <c r="I69" s="440"/>
      <c r="J69" s="17"/>
      <c r="K69" s="17"/>
    </row>
    <row r="70" spans="1:11" ht="15.75" x14ac:dyDescent="0.25">
      <c r="A70" s="288" t="str">
        <f t="shared" si="14"/>
        <v>702_NOTA1_1</v>
      </c>
      <c r="B70" s="17" t="s">
        <v>213</v>
      </c>
      <c r="C70" s="17"/>
      <c r="D70" s="438" t="str">
        <f>IF(ISERROR(VLOOKUP($A70,NOTE!$A$1:$Z$500,4,FALSE)),"",VLOOKUP($A70,NOTE!$A$1:$Z$500,4,FALSE))</f>
        <v/>
      </c>
      <c r="E70" s="439"/>
      <c r="F70" s="439"/>
      <c r="G70" s="439"/>
      <c r="H70" s="439"/>
      <c r="I70" s="440"/>
      <c r="J70" s="17"/>
      <c r="K70" s="17"/>
    </row>
    <row r="71" spans="1:11" ht="15.75" x14ac:dyDescent="0.25">
      <c r="A71" s="288" t="str">
        <f t="shared" si="14"/>
        <v>702_NOTA2_1</v>
      </c>
      <c r="B71" s="17" t="s">
        <v>214</v>
      </c>
      <c r="C71" s="17"/>
      <c r="D71" s="438" t="str">
        <f>IF(ISERROR(VLOOKUP($A71,NOTE!$A$1:$Z$500,4,FALSE)),"",VLOOKUP($A71,NOTE!$A$1:$Z$500,4,FALSE))</f>
        <v/>
      </c>
      <c r="E71" s="439"/>
      <c r="F71" s="439"/>
      <c r="G71" s="439"/>
      <c r="H71" s="439"/>
      <c r="I71" s="440"/>
      <c r="J71" s="17"/>
      <c r="K71" s="17"/>
    </row>
    <row r="72" spans="1:11" ht="15.75" x14ac:dyDescent="0.25">
      <c r="A72" s="288" t="str">
        <f t="shared" si="14"/>
        <v>702_NOTA3_1</v>
      </c>
      <c r="B72" s="17" t="s">
        <v>215</v>
      </c>
      <c r="C72" s="17"/>
      <c r="D72" s="438" t="str">
        <f>IF(ISERROR(VLOOKUP($A72,NOTE!$A$1:$Z$500,4,FALSE)),"",VLOOKUP($A72,NOTE!$A$1:$Z$500,4,FALSE))</f>
        <v/>
      </c>
      <c r="E72" s="439"/>
      <c r="F72" s="439"/>
      <c r="G72" s="439"/>
      <c r="H72" s="439"/>
      <c r="I72" s="440"/>
      <c r="J72" s="17"/>
      <c r="K72" s="17"/>
    </row>
    <row r="73" spans="1:11" ht="15.75" x14ac:dyDescent="0.25">
      <c r="A73" s="288" t="str">
        <f t="shared" si="14"/>
        <v>702_NOTA4_1</v>
      </c>
      <c r="B73" s="17" t="s">
        <v>216</v>
      </c>
      <c r="C73" s="17"/>
      <c r="D73" s="438" t="str">
        <f>IF(ISERROR(VLOOKUP($A73,NOTE!$A$1:$Z$500,4,FALSE)),"",VLOOKUP($A73,NOTE!$A$1:$Z$500,4,FALSE))</f>
        <v/>
      </c>
      <c r="E73" s="439"/>
      <c r="F73" s="439"/>
      <c r="G73" s="439"/>
      <c r="H73" s="439"/>
      <c r="I73" s="440"/>
      <c r="J73" s="17"/>
      <c r="K73" s="17"/>
    </row>
    <row r="74" spans="1:11" ht="15.75" x14ac:dyDescent="0.25">
      <c r="A74" s="288" t="str">
        <f t="shared" si="14"/>
        <v>702_NOTA5_1</v>
      </c>
      <c r="B74" s="17" t="s">
        <v>217</v>
      </c>
      <c r="C74" s="17"/>
      <c r="D74" s="438" t="str">
        <f>IF(ISERROR(VLOOKUP($A74,NOTE!$A$1:$Z$500,4,FALSE)),"",VLOOKUP($A74,NOTE!$A$1:$Z$500,4,FALSE))</f>
        <v/>
      </c>
      <c r="E74" s="439"/>
      <c r="F74" s="439"/>
      <c r="G74" s="439"/>
      <c r="H74" s="439"/>
      <c r="I74" s="440"/>
      <c r="J74" s="17"/>
      <c r="K74" s="17"/>
    </row>
    <row r="75" spans="1:11" ht="15.75" x14ac:dyDescent="0.25">
      <c r="A75" s="288" t="str">
        <f t="shared" si="14"/>
        <v>702_NOTA6_1</v>
      </c>
      <c r="B75" s="17" t="s">
        <v>218</v>
      </c>
      <c r="C75" s="17"/>
      <c r="D75" s="438" t="str">
        <f>IF(ISERROR(VLOOKUP($A75,NOTE!$A$1:$Z$500,4,FALSE)),"",VLOOKUP($A75,NOTE!$A$1:$Z$500,4,FALSE))</f>
        <v/>
      </c>
      <c r="E75" s="439"/>
      <c r="F75" s="439"/>
      <c r="G75" s="439"/>
      <c r="H75" s="439"/>
      <c r="I75" s="440"/>
      <c r="J75" s="17"/>
      <c r="K75" s="17"/>
    </row>
    <row r="76" spans="1:11" ht="15.75" x14ac:dyDescent="0.25">
      <c r="A76" s="288" t="str">
        <f t="shared" si="14"/>
        <v>702_NOTA7_1</v>
      </c>
      <c r="B76" s="17" t="s">
        <v>219</v>
      </c>
      <c r="C76" s="17"/>
      <c r="D76" s="438" t="str">
        <f>IF(ISERROR(VLOOKUP($A76,NOTE!$A$1:$Z$500,4,FALSE)),"",VLOOKUP($A76,NOTE!$A$1:$Z$500,4,FALSE))</f>
        <v/>
      </c>
      <c r="E76" s="439"/>
      <c r="F76" s="439"/>
      <c r="G76" s="439"/>
      <c r="H76" s="439"/>
      <c r="I76" s="440"/>
      <c r="J76" s="17"/>
      <c r="K76" s="17"/>
    </row>
    <row r="77" spans="1:11" ht="15.75" x14ac:dyDescent="0.25">
      <c r="A77" s="288" t="str">
        <f t="shared" si="14"/>
        <v>702_NOTA8_1</v>
      </c>
      <c r="B77" s="17" t="s">
        <v>220</v>
      </c>
      <c r="C77" s="17"/>
      <c r="D77" s="438" t="str">
        <f>IF(ISERROR(VLOOKUP($A77,NOTE!$A$1:$Z$500,4,FALSE)),"",VLOOKUP($A77,NOTE!$A$1:$Z$500,4,FALSE))</f>
        <v/>
      </c>
      <c r="E77" s="439"/>
      <c r="F77" s="439"/>
      <c r="G77" s="439"/>
      <c r="H77" s="439"/>
      <c r="I77" s="440"/>
      <c r="J77" s="17"/>
      <c r="K77" s="17"/>
    </row>
    <row r="78" spans="1:11" ht="15.75" x14ac:dyDescent="0.25">
      <c r="A78" s="288" t="str">
        <f t="shared" si="14"/>
        <v>702_NOTA9_1</v>
      </c>
      <c r="B78" s="17" t="s">
        <v>221</v>
      </c>
      <c r="C78" s="17"/>
      <c r="D78" s="438" t="str">
        <f>IF(ISERROR(VLOOKUP($A78,NOTE!$A$1:$Z$500,4,FALSE)),"",VLOOKUP($A78,NOTE!$A$1:$Z$500,4,FALSE))</f>
        <v/>
      </c>
      <c r="E78" s="439"/>
      <c r="F78" s="439"/>
      <c r="G78" s="439"/>
      <c r="H78" s="439"/>
      <c r="I78" s="440"/>
      <c r="J78" s="17"/>
      <c r="K78" s="17"/>
    </row>
    <row r="79" spans="1:11" ht="15.75" x14ac:dyDescent="0.25">
      <c r="A79" s="288" t="str">
        <f>+$C$3&amp;"_"&amp;B79&amp;"_"&amp;1</f>
        <v>702_NOTA10_1</v>
      </c>
      <c r="B79" s="17" t="s">
        <v>222</v>
      </c>
      <c r="C79" s="17"/>
      <c r="D79" s="438" t="str">
        <f>IF(ISERROR(VLOOKUP($A79,NOTE!$A$1:$Z$500,4,FALSE)),"",VLOOKUP($A79,NOTE!$A$1:$Z$500,4,FALSE))</f>
        <v/>
      </c>
      <c r="E79" s="439"/>
      <c r="F79" s="439"/>
      <c r="G79" s="439"/>
      <c r="H79" s="439"/>
      <c r="I79" s="440"/>
      <c r="J79" s="17"/>
      <c r="K79" s="17"/>
    </row>
    <row r="80" spans="1:11" ht="15.75" x14ac:dyDescent="0.25">
      <c r="A80" s="17"/>
      <c r="B80" s="17"/>
      <c r="C80" s="17"/>
      <c r="D80" s="293"/>
      <c r="E80" s="293"/>
      <c r="F80" s="293"/>
      <c r="G80" s="293"/>
      <c r="H80" s="293"/>
      <c r="I80" s="293"/>
      <c r="J80" s="17"/>
      <c r="K80" s="17"/>
    </row>
    <row r="81" spans="1:11" ht="31.5" x14ac:dyDescent="0.25">
      <c r="A81" s="17"/>
      <c r="B81" s="17"/>
      <c r="C81" s="17"/>
      <c r="D81" s="300"/>
      <c r="E81" s="441" t="s">
        <v>223</v>
      </c>
      <c r="F81" s="441"/>
      <c r="G81" s="441"/>
      <c r="H81" s="432" t="s">
        <v>108</v>
      </c>
      <c r="I81" s="432" t="s">
        <v>109</v>
      </c>
      <c r="J81" s="17"/>
      <c r="K81" s="17"/>
    </row>
    <row r="82" spans="1:11" ht="38.25" x14ac:dyDescent="0.25">
      <c r="A82" s="17"/>
      <c r="B82" s="17"/>
      <c r="C82" s="17"/>
      <c r="D82" s="303"/>
      <c r="E82" s="296" t="str">
        <f>E$6</f>
        <v>Preventivo 2017 SANITARIO</v>
      </c>
      <c r="F82" s="296" t="str">
        <f>F$6</f>
        <v>Preventivo 2017 TER</v>
      </c>
      <c r="G82" s="296" t="str">
        <f>G$6</f>
        <v>Preventivo 2017 SAN + TER</v>
      </c>
      <c r="H82" s="46" t="str">
        <f>H$6</f>
        <v>Preventivo 2017 AREU</v>
      </c>
      <c r="I82" s="46" t="str">
        <f>I$6</f>
        <v>Preventivo 2017 TOTALE</v>
      </c>
      <c r="J82" s="17"/>
      <c r="K82" s="46" t="str">
        <f>K$6</f>
        <v>Controllo quadratura</v>
      </c>
    </row>
    <row r="83" spans="1:11" ht="15.75" x14ac:dyDescent="0.25">
      <c r="A83" s="288" t="str">
        <f t="shared" ref="A83:A91" si="15">+$C$3&amp;"_"&amp;B83&amp;"_"&amp;1</f>
        <v>702_TRIC_NOALP_1</v>
      </c>
      <c r="B83" s="289" t="s">
        <v>224</v>
      </c>
      <c r="C83" s="291"/>
      <c r="D83" s="305" t="s">
        <v>225</v>
      </c>
      <c r="E83" s="306">
        <f>IF(ISERROR(VLOOKUP($A83,DECRETI!$A$1:$Z$500,E$4,FALSE)),0,VLOOKUP($A83,DECRETI!$A$1:$Z$500,E$4,FALSE))</f>
        <v>369866.14885165961</v>
      </c>
      <c r="F83" s="306">
        <f>IF(ISERROR(VLOOKUP($A83,DECRETI!$A$1:$Z$500,F$4,FALSE)),0,VLOOKUP($A83,DECRETI!$A$1:$Z$500,F$4,FALSE))</f>
        <v>0</v>
      </c>
      <c r="G83" s="306">
        <f t="shared" ref="G83:G91" si="16">+E83+F83</f>
        <v>369866.14885165961</v>
      </c>
      <c r="H83" s="306">
        <f>IF(ISERROR(VLOOKUP($A83,DECRETI!$A$1:$Z$500,H$4,FALSE)),0,VLOOKUP($A83,DECRETI!$A$1:$Z$500,H$4,FALSE))</f>
        <v>1226</v>
      </c>
      <c r="I83" s="306">
        <f t="shared" ref="I83:I91" si="17">+G83+H83</f>
        <v>371092.14885165961</v>
      </c>
      <c r="J83" s="291"/>
      <c r="K83" s="306">
        <f t="shared" ref="K83:K91" si="18">+E83+H83-I83</f>
        <v>0</v>
      </c>
    </row>
    <row r="84" spans="1:11" ht="15.75" x14ac:dyDescent="0.25">
      <c r="A84" s="288" t="str">
        <f t="shared" si="15"/>
        <v>702_TCOS_NOALP_1</v>
      </c>
      <c r="B84" s="289" t="s">
        <v>226</v>
      </c>
      <c r="C84" s="291"/>
      <c r="D84" s="305" t="s">
        <v>227</v>
      </c>
      <c r="E84" s="306">
        <f>IF(ISERROR(VLOOKUP($A84,DECRETI!$A$1:$Z$500,E$4,FALSE)),0,VLOOKUP($A84,DECRETI!$A$1:$Z$500,E$4,FALSE))</f>
        <v>376065.14885165961</v>
      </c>
      <c r="F84" s="306">
        <f>IF(ISERROR(VLOOKUP($A84,DECRETI!$A$1:$Z$500,F$4,FALSE)),0,VLOOKUP($A84,DECRETI!$A$1:$Z$500,F$4,FALSE))</f>
        <v>0</v>
      </c>
      <c r="G84" s="306">
        <f t="shared" si="16"/>
        <v>376065.14885165961</v>
      </c>
      <c r="H84" s="306">
        <f>IF(ISERROR(VLOOKUP($A84,DECRETI!$A$1:$Z$500,H$4,FALSE)),0,VLOOKUP($A84,DECRETI!$A$1:$Z$500,H$4,FALSE))</f>
        <v>1226</v>
      </c>
      <c r="I84" s="306">
        <f t="shared" si="17"/>
        <v>377291.14885165961</v>
      </c>
      <c r="J84" s="291"/>
      <c r="K84" s="306">
        <f t="shared" si="18"/>
        <v>0</v>
      </c>
    </row>
    <row r="85" spans="1:11" ht="15.75" x14ac:dyDescent="0.25">
      <c r="A85" s="288" t="str">
        <f t="shared" si="15"/>
        <v>702_AOIR07_1</v>
      </c>
      <c r="B85" s="289" t="s">
        <v>228</v>
      </c>
      <c r="C85" s="17"/>
      <c r="D85" s="307" t="s">
        <v>229</v>
      </c>
      <c r="E85" s="308">
        <f>IF(ISERROR(VLOOKUP($A85,DECRETI!$A$1:$Z$500,E$4,FALSE)),0,VLOOKUP($A85,DECRETI!$A$1:$Z$500,E$4,FALSE))</f>
        <v>18309</v>
      </c>
      <c r="F85" s="308">
        <f>IF(ISERROR(VLOOKUP($A85,DECRETI!$A$1:$Z$500,F$4,FALSE)),0,VLOOKUP($A85,DECRETI!$A$1:$Z$500,F$4,FALSE))</f>
        <v>0</v>
      </c>
      <c r="G85" s="308">
        <f t="shared" si="16"/>
        <v>18309</v>
      </c>
      <c r="H85" s="308">
        <f>IF(ISERROR(VLOOKUP($A85,DECRETI!$A$1:$Z$500,H$4,FALSE)),0,VLOOKUP($A85,DECRETI!$A$1:$Z$500,H$4,FALSE))</f>
        <v>0</v>
      </c>
      <c r="I85" s="308">
        <f t="shared" si="17"/>
        <v>18309</v>
      </c>
      <c r="J85" s="17"/>
      <c r="K85" s="308">
        <f t="shared" si="18"/>
        <v>0</v>
      </c>
    </row>
    <row r="86" spans="1:11" ht="15.75" x14ac:dyDescent="0.25">
      <c r="A86" s="288" t="str">
        <f t="shared" si="15"/>
        <v>702_AOIC03_1</v>
      </c>
      <c r="B86" s="289" t="s">
        <v>230</v>
      </c>
      <c r="C86" s="17"/>
      <c r="D86" s="307" t="s">
        <v>231</v>
      </c>
      <c r="E86" s="308">
        <f>IF(ISERROR(VLOOKUP($A86,DECRETI!$A$1:$Z$500,E$4,FALSE)),0,VLOOKUP($A86,DECRETI!$A$1:$Z$500,E$4,FALSE))</f>
        <v>12110</v>
      </c>
      <c r="F86" s="308">
        <f>IF(ISERROR(VLOOKUP($A86,DECRETI!$A$1:$Z$500,F$4,FALSE)),0,VLOOKUP($A86,DECRETI!$A$1:$Z$500,F$4,FALSE))</f>
        <v>0</v>
      </c>
      <c r="G86" s="308">
        <f t="shared" si="16"/>
        <v>12110</v>
      </c>
      <c r="H86" s="308">
        <f>IF(ISERROR(VLOOKUP($A86,DECRETI!$A$1:$Z$500,H$4,FALSE)),0,VLOOKUP($A86,DECRETI!$A$1:$Z$500,H$4,FALSE))</f>
        <v>0</v>
      </c>
      <c r="I86" s="308">
        <f t="shared" si="17"/>
        <v>12110</v>
      </c>
      <c r="J86" s="17"/>
      <c r="K86" s="308">
        <f t="shared" si="18"/>
        <v>0</v>
      </c>
    </row>
    <row r="87" spans="1:11" ht="15.75" x14ac:dyDescent="0.25">
      <c r="A87" s="288" t="str">
        <f t="shared" si="15"/>
        <v>702_AOIR11_R_1</v>
      </c>
      <c r="B87" s="289" t="s">
        <v>232</v>
      </c>
      <c r="C87" s="17"/>
      <c r="D87" s="307" t="s">
        <v>233</v>
      </c>
      <c r="E87" s="308">
        <f>IF(ISERROR(VLOOKUP($A87,DECRETI!$A$1:$Z$500,E$4,FALSE)),0,VLOOKUP($A87,DECRETI!$A$1:$Z$500,E$4,FALSE))</f>
        <v>0</v>
      </c>
      <c r="F87" s="308">
        <f>IF(ISERROR(VLOOKUP($A87,DECRETI!$A$1:$Z$500,F$4,FALSE)),0,VLOOKUP($A87,DECRETI!$A$1:$Z$500,F$4,FALSE))</f>
        <v>0</v>
      </c>
      <c r="G87" s="308">
        <f t="shared" si="16"/>
        <v>0</v>
      </c>
      <c r="H87" s="308">
        <f>IF(ISERROR(VLOOKUP($A87,DECRETI!$A$1:$Z$500,H$4,FALSE)),0,VLOOKUP($A87,DECRETI!$A$1:$Z$500,H$4,FALSE))</f>
        <v>0</v>
      </c>
      <c r="I87" s="308">
        <f t="shared" si="17"/>
        <v>0</v>
      </c>
      <c r="J87" s="17"/>
      <c r="K87" s="308">
        <f t="shared" si="18"/>
        <v>0</v>
      </c>
    </row>
    <row r="88" spans="1:11" ht="15.75" x14ac:dyDescent="0.25">
      <c r="A88" s="288" t="str">
        <f t="shared" si="15"/>
        <v>702_AOIR12_R_1</v>
      </c>
      <c r="B88" s="289" t="s">
        <v>234</v>
      </c>
      <c r="C88" s="17"/>
      <c r="D88" s="307" t="s">
        <v>235</v>
      </c>
      <c r="E88" s="308">
        <f>IF(ISERROR(VLOOKUP($A88,DECRETI!$A$1:$Z$500,E$4,FALSE)),0,VLOOKUP($A88,DECRETI!$A$1:$Z$500,E$4,FALSE))</f>
        <v>0</v>
      </c>
      <c r="F88" s="308">
        <f>IF(ISERROR(VLOOKUP($A88,DECRETI!$A$1:$Z$500,F$4,FALSE)),0,VLOOKUP($A88,DECRETI!$A$1:$Z$500,F$4,FALSE))</f>
        <v>0</v>
      </c>
      <c r="G88" s="308">
        <f t="shared" si="16"/>
        <v>0</v>
      </c>
      <c r="H88" s="308">
        <f>IF(ISERROR(VLOOKUP($A88,DECRETI!$A$1:$Z$500,H$4,FALSE)),0,VLOOKUP($A88,DECRETI!$A$1:$Z$500,H$4,FALSE))</f>
        <v>0</v>
      </c>
      <c r="I88" s="308">
        <f t="shared" si="17"/>
        <v>0</v>
      </c>
      <c r="J88" s="17"/>
      <c r="K88" s="308">
        <f t="shared" si="18"/>
        <v>0</v>
      </c>
    </row>
    <row r="89" spans="1:11" ht="15.75" x14ac:dyDescent="0.25">
      <c r="A89" s="288" t="str">
        <f t="shared" si="15"/>
        <v>702_TOTRIC_1</v>
      </c>
      <c r="B89" s="294" t="s">
        <v>236</v>
      </c>
      <c r="C89" s="17"/>
      <c r="D89" s="305" t="s">
        <v>237</v>
      </c>
      <c r="E89" s="306">
        <f>IF(ISERROR(VLOOKUP($A89,DECRETI!$A$1:$Z$500,E$4,FALSE)),0,VLOOKUP($A89,DECRETI!$A$1:$Z$500,E$4,FALSE))</f>
        <v>388175.14885165961</v>
      </c>
      <c r="F89" s="306">
        <f>IF(ISERROR(VLOOKUP($A89,DECRETI!$A$1:$Z$500,F$4,FALSE)),0,VLOOKUP($A89,DECRETI!$A$1:$Z$500,F$4,FALSE))</f>
        <v>0</v>
      </c>
      <c r="G89" s="306">
        <f t="shared" si="16"/>
        <v>388175.14885165961</v>
      </c>
      <c r="H89" s="306">
        <f>IF(ISERROR(VLOOKUP($A89,DECRETI!$A$1:$Z$500,H$4,FALSE)),0,VLOOKUP($A89,DECRETI!$A$1:$Z$500,H$4,FALSE))</f>
        <v>1226</v>
      </c>
      <c r="I89" s="306">
        <f t="shared" si="17"/>
        <v>389401.14885165961</v>
      </c>
      <c r="J89" s="17"/>
      <c r="K89" s="306">
        <f t="shared" si="18"/>
        <v>0</v>
      </c>
    </row>
    <row r="90" spans="1:11" ht="15.75" x14ac:dyDescent="0.25">
      <c r="A90" s="288" t="str">
        <f t="shared" si="15"/>
        <v>702_TOTCOS_1</v>
      </c>
      <c r="B90" s="294" t="s">
        <v>238</v>
      </c>
      <c r="C90" s="17"/>
      <c r="D90" s="305" t="s">
        <v>239</v>
      </c>
      <c r="E90" s="306">
        <f>IF(ISERROR(VLOOKUP($A90,DECRETI!$A$1:$Z$500,E$4,FALSE)),0,VLOOKUP($A90,DECRETI!$A$1:$Z$500,E$4,FALSE))</f>
        <v>388175.14885165961</v>
      </c>
      <c r="F90" s="306">
        <f>IF(ISERROR(VLOOKUP($A90,DECRETI!$A$1:$Z$500,F$4,FALSE)),0,VLOOKUP($A90,DECRETI!$A$1:$Z$500,F$4,FALSE))</f>
        <v>0</v>
      </c>
      <c r="G90" s="306">
        <f t="shared" si="16"/>
        <v>388175.14885165961</v>
      </c>
      <c r="H90" s="306">
        <f>IF(ISERROR(VLOOKUP($A90,DECRETI!$A$1:$Z$500,H$4,FALSE)),0,VLOOKUP($A90,DECRETI!$A$1:$Z$500,H$4,FALSE))</f>
        <v>1226</v>
      </c>
      <c r="I90" s="306">
        <f t="shared" si="17"/>
        <v>389401.14885165961</v>
      </c>
      <c r="J90" s="17"/>
      <c r="K90" s="306">
        <f t="shared" si="18"/>
        <v>0</v>
      </c>
    </row>
    <row r="91" spans="1:11" ht="15.75" x14ac:dyDescent="0.25">
      <c r="A91" s="288" t="str">
        <f t="shared" si="15"/>
        <v>702_RISES_1</v>
      </c>
      <c r="B91" s="294" t="s">
        <v>240</v>
      </c>
      <c r="C91" s="17"/>
      <c r="D91" s="305" t="s">
        <v>241</v>
      </c>
      <c r="E91" s="306">
        <f>IF(ISERROR(VLOOKUP($A91,DECRETI!$A$1:$Z$500,E$4,FALSE)),0,VLOOKUP($A91,DECRETI!$A$1:$Z$500,E$4,FALSE))</f>
        <v>0</v>
      </c>
      <c r="F91" s="306">
        <f>IF(ISERROR(VLOOKUP($A91,DECRETI!$A$1:$Z$500,F$4,FALSE)),0,VLOOKUP($A91,DECRETI!$A$1:$Z$500,F$4,FALSE))</f>
        <v>0</v>
      </c>
      <c r="G91" s="306">
        <f t="shared" si="16"/>
        <v>0</v>
      </c>
      <c r="H91" s="306">
        <f>IF(ISERROR(VLOOKUP($A91,DECRETI!$A$1:$Z$500,H$4,FALSE)),0,VLOOKUP($A91,DECRETI!$A$1:$Z$500,H$4,FALSE))</f>
        <v>0</v>
      </c>
      <c r="I91" s="306">
        <f t="shared" si="17"/>
        <v>0</v>
      </c>
      <c r="J91" s="17"/>
      <c r="K91" s="306">
        <f t="shared" si="18"/>
        <v>0</v>
      </c>
    </row>
  </sheetData>
  <sheetProtection password="A01C" sheet="1"/>
  <mergeCells count="13">
    <mergeCell ref="D72:I72"/>
    <mergeCell ref="D73:I73"/>
    <mergeCell ref="D74:I74"/>
    <mergeCell ref="E81:G81"/>
    <mergeCell ref="E5:G5"/>
    <mergeCell ref="D69:I69"/>
    <mergeCell ref="D70:I70"/>
    <mergeCell ref="D75:I75"/>
    <mergeCell ref="D76:I76"/>
    <mergeCell ref="D77:I77"/>
    <mergeCell ref="D78:I78"/>
    <mergeCell ref="D79:I79"/>
    <mergeCell ref="D71:I71"/>
  </mergeCells>
  <pageMargins left="0.7" right="0.7" top="0.75" bottom="0.75" header="0.3" footer="0.3"/>
  <pageSetup scale="72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G36"/>
  <sheetViews>
    <sheetView showGridLines="0" topLeftCell="B1" zoomScale="80" zoomScaleNormal="80" workbookViewId="0">
      <selection activeCell="B8" sqref="B8"/>
    </sheetView>
  </sheetViews>
  <sheetFormatPr defaultRowHeight="15" x14ac:dyDescent="0.25"/>
  <cols>
    <col min="1" max="1" width="12.7109375" hidden="1" customWidth="1"/>
    <col min="2" max="2" width="23.7109375" customWidth="1"/>
    <col min="3" max="3" width="33.42578125" customWidth="1"/>
    <col min="4" max="4" width="80.28515625" customWidth="1"/>
    <col min="5" max="5" width="20.85546875" customWidth="1"/>
    <col min="6" max="6" width="10.85546875" customWidth="1"/>
  </cols>
  <sheetData>
    <row r="1" spans="1:7" s="408" customFormat="1" ht="15.75" x14ac:dyDescent="0.25">
      <c r="E1" s="428" t="str">
        <f>Info!$B$2&amp;"_Scheda 2"</f>
        <v>702_Scheda 2</v>
      </c>
    </row>
    <row r="2" spans="1:7" s="408" customFormat="1" ht="24" thickBot="1" x14ac:dyDescent="0.3">
      <c r="B2" s="445" t="str">
        <f>"Contributi in c/esercizio da Regione - "&amp;Info!$B$5&amp;" "&amp;Info!$B$3&amp;" - "&amp;Info!$B$6</f>
        <v>Contributi in c/esercizio da Regione - Flussi di cassa 2017 - V1</v>
      </c>
      <c r="C2" s="445"/>
      <c r="D2" s="445"/>
      <c r="E2" s="445"/>
    </row>
    <row r="3" spans="1:7" s="408" customFormat="1" x14ac:dyDescent="0.25"/>
    <row r="4" spans="1:7" ht="24" thickBot="1" x14ac:dyDescent="0.3">
      <c r="A4" s="408"/>
      <c r="B4" s="81" t="s">
        <v>242</v>
      </c>
      <c r="C4" s="115" t="str">
        <f>Info!$C$2</f>
        <v>ASST SANTI PAOLO E CARLO</v>
      </c>
      <c r="D4" s="82"/>
      <c r="E4" s="83" t="str">
        <f>Info!$B$2</f>
        <v>702</v>
      </c>
      <c r="F4" s="17"/>
      <c r="G4" s="17"/>
    </row>
    <row r="5" spans="1:7" ht="16.5" thickTop="1" x14ac:dyDescent="0.25">
      <c r="A5" s="408"/>
      <c r="B5" s="18"/>
      <c r="C5" s="18"/>
      <c r="D5" s="17"/>
      <c r="E5" s="17"/>
      <c r="F5" s="17"/>
      <c r="G5" s="17"/>
    </row>
    <row r="6" spans="1:7" ht="15.75" x14ac:dyDescent="0.25">
      <c r="A6" s="408"/>
      <c r="B6" s="446" t="s">
        <v>243</v>
      </c>
      <c r="C6" s="446"/>
      <c r="D6" s="19" t="s">
        <v>106</v>
      </c>
      <c r="E6" s="46" t="s">
        <v>244</v>
      </c>
      <c r="F6" s="47" t="s">
        <v>245</v>
      </c>
      <c r="G6" s="47" t="s">
        <v>246</v>
      </c>
    </row>
    <row r="7" spans="1:7" ht="15.75" x14ac:dyDescent="0.25">
      <c r="A7" s="408"/>
      <c r="B7" s="20" t="s">
        <v>247</v>
      </c>
      <c r="C7" s="21" t="s">
        <v>248</v>
      </c>
      <c r="D7" s="21" t="s">
        <v>249</v>
      </c>
      <c r="E7" s="447" t="str">
        <f>Info!$B$5&amp;" "&amp;Info!$B$3</f>
        <v>Flussi di cassa 2017</v>
      </c>
      <c r="F7" s="448"/>
      <c r="G7" s="449"/>
    </row>
    <row r="8" spans="1:7" ht="15.75" x14ac:dyDescent="0.25">
      <c r="A8" s="408" t="s">
        <v>250</v>
      </c>
      <c r="B8" s="23" t="s">
        <v>251</v>
      </c>
      <c r="C8" s="24" t="s">
        <v>252</v>
      </c>
      <c r="D8" s="25" t="s">
        <v>253</v>
      </c>
      <c r="E8" s="258">
        <f>IF(ISERROR(VLOOKUP("TAB1_"&amp;$E$4&amp;"_"&amp;$A8,ASSEGN!$A$1:$Z$200,6,FALSE)),0,VLOOKUP("TAB1_"&amp;$E$4&amp;"_"&amp;$A8,ASSEGN!$A$1:$Z$200,6,FALSE))</f>
        <v>35786</v>
      </c>
      <c r="F8" s="258">
        <f>IF(ISERROR(VLOOKUP("TAB1_"&amp;$E$4&amp;"_"&amp;$A8,ASSEGN!$A$1:$Z$200,7,FALSE)),0,VLOOKUP("TAB1_"&amp;$E$4&amp;"_"&amp;$A8,ASSEGN!$A$1:$Z$200,7,FALSE))</f>
        <v>0</v>
      </c>
      <c r="G8" s="263">
        <f>+E8+F8</f>
        <v>35786</v>
      </c>
    </row>
    <row r="9" spans="1:7" ht="15.75" x14ac:dyDescent="0.25">
      <c r="A9" s="408" t="s">
        <v>254</v>
      </c>
      <c r="B9" s="26" t="s">
        <v>255</v>
      </c>
      <c r="C9" s="409" t="s">
        <v>256</v>
      </c>
      <c r="D9" s="27" t="s">
        <v>257</v>
      </c>
      <c r="E9" s="259">
        <f>IF(ISERROR(VLOOKUP("TAB1_"&amp;$E$4&amp;"_"&amp;$A9,ASSEGN!$A$1:$Z$200,6,FALSE)),0,VLOOKUP("TAB1_"&amp;$E$4&amp;"_"&amp;$A9,ASSEGN!$A$1:$Z$200,6,FALSE))</f>
        <v>26486</v>
      </c>
      <c r="F9" s="260">
        <f>IF(ISERROR(VLOOKUP("TAB1_"&amp;$E$4&amp;"_"&amp;$A9,ASSEGN!$A$1:$Z$200,7,FALSE)),0,VLOOKUP("TAB1_"&amp;$E$4&amp;"_"&amp;$A9,ASSEGN!$A$1:$Z$200,7,FALSE))</f>
        <v>0</v>
      </c>
      <c r="G9" s="260">
        <f>+E9+F9</f>
        <v>26486</v>
      </c>
    </row>
    <row r="10" spans="1:7" ht="15.75" x14ac:dyDescent="0.25">
      <c r="A10" s="408" t="s">
        <v>258</v>
      </c>
      <c r="B10" s="29"/>
      <c r="C10" s="30"/>
      <c r="D10" s="88" t="s">
        <v>121</v>
      </c>
      <c r="E10" s="264">
        <f>IF(ISERROR(VLOOKUP("TAB1_"&amp;$E$4&amp;"_"&amp;$A10,ASSEGN!$A$1:$Z$200,6,FALSE)),0,VLOOKUP("TAB1_"&amp;$E$4&amp;"_"&amp;$A10,ASSEGN!$A$1:$Z$200,6,FALSE))</f>
        <v>32228</v>
      </c>
      <c r="F10" s="265">
        <f>IF(ISERROR(VLOOKUP("TAB1_"&amp;$E$4&amp;"_"&amp;$A10,ASSEGN!$A$1:$Z$200,7,FALSE)),0,VLOOKUP("TAB1_"&amp;$E$4&amp;"_"&amp;$A10,ASSEGN!$A$1:$Z$200,7,FALSE))</f>
        <v>0</v>
      </c>
      <c r="G10" s="265">
        <f>+E10+F10</f>
        <v>32228</v>
      </c>
    </row>
    <row r="11" spans="1:7" x14ac:dyDescent="0.25">
      <c r="A11" s="408" t="s">
        <v>259</v>
      </c>
      <c r="B11" s="26" t="s">
        <v>260</v>
      </c>
      <c r="C11" s="409" t="s">
        <v>261</v>
      </c>
      <c r="D11" s="410" t="s">
        <v>262</v>
      </c>
      <c r="E11" s="261">
        <f>IF(ISERROR(VLOOKUP("TAB1_"&amp;$E$4&amp;"_"&amp;$A11,ASSEGN!$A$1:$Z$200,6,FALSE)),0,VLOOKUP("TAB1_"&amp;$E$4&amp;"_"&amp;$A11,ASSEGN!$A$1:$Z$200,6,FALSE))</f>
        <v>8540</v>
      </c>
      <c r="F11" s="262">
        <f>IF(ISERROR(VLOOKUP("TAB1_"&amp;$E$4&amp;"_"&amp;$A11,ASSEGN!$A$1:$Z$200,7,FALSE)),0,VLOOKUP("TAB1_"&amp;$E$4&amp;"_"&amp;$A11,ASSEGN!$A$1:$Z$200,7,FALSE))</f>
        <v>0</v>
      </c>
      <c r="G11" s="262">
        <f t="shared" ref="G11:G30" si="0">+E11+F11</f>
        <v>8540</v>
      </c>
    </row>
    <row r="12" spans="1:7" x14ac:dyDescent="0.25">
      <c r="A12" s="408" t="s">
        <v>263</v>
      </c>
      <c r="B12" s="26" t="s">
        <v>260</v>
      </c>
      <c r="C12" s="409" t="s">
        <v>261</v>
      </c>
      <c r="D12" s="410" t="s">
        <v>264</v>
      </c>
      <c r="E12" s="261">
        <f>IF(ISERROR(VLOOKUP("TAB1_"&amp;$E$4&amp;"_"&amp;$A12,ASSEGN!$A$1:$Z$200,6,FALSE)),0,VLOOKUP("TAB1_"&amp;$E$4&amp;"_"&amp;$A12,ASSEGN!$A$1:$Z$200,6,FALSE))</f>
        <v>1916</v>
      </c>
      <c r="F12" s="262">
        <f>IF(ISERROR(VLOOKUP("TAB1_"&amp;$E$4&amp;"_"&amp;$A12,ASSEGN!$A$1:$Z$200,7,FALSE)),0,VLOOKUP("TAB1_"&amp;$E$4&amp;"_"&amp;$A12,ASSEGN!$A$1:$Z$200,7,FALSE))</f>
        <v>0</v>
      </c>
      <c r="G12" s="262">
        <f t="shared" si="0"/>
        <v>1916</v>
      </c>
    </row>
    <row r="13" spans="1:7" x14ac:dyDescent="0.25">
      <c r="A13" s="408" t="s">
        <v>265</v>
      </c>
      <c r="B13" s="26" t="s">
        <v>260</v>
      </c>
      <c r="C13" s="409" t="s">
        <v>261</v>
      </c>
      <c r="D13" s="410" t="s">
        <v>266</v>
      </c>
      <c r="E13" s="261">
        <f>IF(ISERROR(VLOOKUP("TAB1_"&amp;$E$4&amp;"_"&amp;$A13,ASSEGN!$A$1:$Z$200,6,FALSE)),0,VLOOKUP("TAB1_"&amp;$E$4&amp;"_"&amp;$A13,ASSEGN!$A$1:$Z$200,6,FALSE))</f>
        <v>11879</v>
      </c>
      <c r="F13" s="262">
        <f>IF(ISERROR(VLOOKUP("TAB1_"&amp;$E$4&amp;"_"&amp;$A13,ASSEGN!$A$1:$Z$200,7,FALSE)),0,VLOOKUP("TAB1_"&amp;$E$4&amp;"_"&amp;$A13,ASSEGN!$A$1:$Z$200,7,FALSE))</f>
        <v>0</v>
      </c>
      <c r="G13" s="262">
        <f t="shared" si="0"/>
        <v>11879</v>
      </c>
    </row>
    <row r="14" spans="1:7" x14ac:dyDescent="0.25">
      <c r="A14" s="408" t="s">
        <v>267</v>
      </c>
      <c r="B14" s="26" t="s">
        <v>260</v>
      </c>
      <c r="C14" s="409" t="s">
        <v>261</v>
      </c>
      <c r="D14" s="28" t="s">
        <v>268</v>
      </c>
      <c r="E14" s="261">
        <f>IF(ISERROR(VLOOKUP("TAB1_"&amp;$E$4&amp;"_"&amp;$A14,ASSEGN!$A$1:$Z$200,6,FALSE)),0,VLOOKUP("TAB1_"&amp;$E$4&amp;"_"&amp;$A14,ASSEGN!$A$1:$Z$200,6,FALSE))</f>
        <v>394</v>
      </c>
      <c r="F14" s="262">
        <f>IF(ISERROR(VLOOKUP("TAB1_"&amp;$E$4&amp;"_"&amp;$A14,ASSEGN!$A$1:$Z$200,7,FALSE)),0,VLOOKUP("TAB1_"&amp;$E$4&amp;"_"&amp;$A14,ASSEGN!$A$1:$Z$200,7,FALSE))</f>
        <v>0</v>
      </c>
      <c r="G14" s="262">
        <f t="shared" si="0"/>
        <v>394</v>
      </c>
    </row>
    <row r="15" spans="1:7" x14ac:dyDescent="0.25">
      <c r="A15" s="408" t="s">
        <v>269</v>
      </c>
      <c r="B15" s="26" t="s">
        <v>260</v>
      </c>
      <c r="C15" s="409" t="s">
        <v>261</v>
      </c>
      <c r="D15" s="410" t="s">
        <v>270</v>
      </c>
      <c r="E15" s="261">
        <f>IF(ISERROR(VLOOKUP("TAB1_"&amp;$E$4&amp;"_"&amp;$A15,ASSEGN!$A$1:$Z$200,6,FALSE)),0,VLOOKUP("TAB1_"&amp;$E$4&amp;"_"&amp;$A15,ASSEGN!$A$1:$Z$200,6,FALSE))</f>
        <v>3790</v>
      </c>
      <c r="F15" s="262">
        <f>IF(ISERROR(VLOOKUP("TAB1_"&amp;$E$4&amp;"_"&amp;$A15,ASSEGN!$A$1:$Z$200,7,FALSE)),0,VLOOKUP("TAB1_"&amp;$E$4&amp;"_"&amp;$A15,ASSEGN!$A$1:$Z$200,7,FALSE))</f>
        <v>0</v>
      </c>
      <c r="G15" s="262">
        <f t="shared" si="0"/>
        <v>3790</v>
      </c>
    </row>
    <row r="16" spans="1:7" x14ac:dyDescent="0.25">
      <c r="A16" s="408" t="s">
        <v>271</v>
      </c>
      <c r="B16" s="411" t="s">
        <v>260</v>
      </c>
      <c r="C16" s="409" t="s">
        <v>261</v>
      </c>
      <c r="D16" s="426" t="s">
        <v>272</v>
      </c>
      <c r="E16" s="261">
        <f>IF(ISERROR(VLOOKUP("TAB1_"&amp;$E$4&amp;"_"&amp;$A16,ASSEGN!$A$1:$Z$200,6,FALSE)),0,VLOOKUP("TAB1_"&amp;$E$4&amp;"_"&amp;$A16,ASSEGN!$A$1:$Z$200,6,FALSE))</f>
        <v>0</v>
      </c>
      <c r="F16" s="262">
        <f>IF(ISERROR(VLOOKUP("TAB1_"&amp;$E$4&amp;"_"&amp;$A16,ASSEGN!$A$1:$Z$200,7,FALSE)),0,VLOOKUP("TAB1_"&amp;$E$4&amp;"_"&amp;$A16,ASSEGN!$A$1:$Z$200,7,FALSE))</f>
        <v>0</v>
      </c>
      <c r="G16" s="262">
        <f t="shared" si="0"/>
        <v>0</v>
      </c>
    </row>
    <row r="17" spans="1:7" x14ac:dyDescent="0.25">
      <c r="A17" s="408" t="s">
        <v>273</v>
      </c>
      <c r="B17" s="26" t="s">
        <v>260</v>
      </c>
      <c r="C17" s="409" t="s">
        <v>261</v>
      </c>
      <c r="D17" s="410" t="s">
        <v>274</v>
      </c>
      <c r="E17" s="261">
        <f>IF(ISERROR(VLOOKUP("TAB1_"&amp;$E$4&amp;"_"&amp;$A17,ASSEGN!$A$1:$Z$200,6,FALSE)),0,VLOOKUP("TAB1_"&amp;$E$4&amp;"_"&amp;$A17,ASSEGN!$A$1:$Z$200,6,FALSE))</f>
        <v>1793</v>
      </c>
      <c r="F17" s="262">
        <f>IF(ISERROR(VLOOKUP("TAB1_"&amp;$E$4&amp;"_"&amp;$A17,ASSEGN!$A$1:$Z$200,7,FALSE)),0,VLOOKUP("TAB1_"&amp;$E$4&amp;"_"&amp;$A17,ASSEGN!$A$1:$Z$200,7,FALSE))</f>
        <v>0</v>
      </c>
      <c r="G17" s="262">
        <f t="shared" si="0"/>
        <v>1793</v>
      </c>
    </row>
    <row r="18" spans="1:7" x14ac:dyDescent="0.25">
      <c r="A18" s="408" t="s">
        <v>275</v>
      </c>
      <c r="B18" s="26" t="s">
        <v>260</v>
      </c>
      <c r="C18" s="409" t="s">
        <v>261</v>
      </c>
      <c r="D18" s="410" t="s">
        <v>276</v>
      </c>
      <c r="E18" s="261">
        <f>IF(ISERROR(VLOOKUP("TAB1_"&amp;$E$4&amp;"_"&amp;$A18,ASSEGN!$A$1:$Z$200,6,FALSE)),0,VLOOKUP("TAB1_"&amp;$E$4&amp;"_"&amp;$A18,ASSEGN!$A$1:$Z$200,6,FALSE))</f>
        <v>0</v>
      </c>
      <c r="F18" s="262">
        <f>IF(ISERROR(VLOOKUP("TAB1_"&amp;$E$4&amp;"_"&amp;$A18,ASSEGN!$A$1:$Z$200,7,FALSE)),0,VLOOKUP("TAB1_"&amp;$E$4&amp;"_"&amp;$A18,ASSEGN!$A$1:$Z$200,7,FALSE))</f>
        <v>0</v>
      </c>
      <c r="G18" s="262">
        <f t="shared" si="0"/>
        <v>0</v>
      </c>
    </row>
    <row r="19" spans="1:7" x14ac:dyDescent="0.25">
      <c r="A19" s="408" t="s">
        <v>277</v>
      </c>
      <c r="B19" s="411" t="s">
        <v>260</v>
      </c>
      <c r="C19" s="409" t="s">
        <v>261</v>
      </c>
      <c r="D19" s="410" t="s">
        <v>278</v>
      </c>
      <c r="E19" s="261">
        <f>IF(ISERROR(VLOOKUP("TAB1_"&amp;$E$4&amp;"_"&amp;$A19,ASSEGN!$A$1:$Z$200,6,FALSE)),0,VLOOKUP("TAB1_"&amp;$E$4&amp;"_"&amp;$A19,ASSEGN!$A$1:$Z$200,6,FALSE))</f>
        <v>0</v>
      </c>
      <c r="F19" s="262">
        <f>IF(ISERROR(VLOOKUP("TAB1_"&amp;$E$4&amp;"_"&amp;$A19,ASSEGN!$A$1:$Z$200,7,FALSE)),0,VLOOKUP("TAB1_"&amp;$E$4&amp;"_"&amp;$A19,ASSEGN!$A$1:$Z$200,7,FALSE))</f>
        <v>0</v>
      </c>
      <c r="G19" s="262">
        <f t="shared" si="0"/>
        <v>0</v>
      </c>
    </row>
    <row r="20" spans="1:7" x14ac:dyDescent="0.25">
      <c r="A20" s="408" t="s">
        <v>279</v>
      </c>
      <c r="B20" s="26" t="s">
        <v>260</v>
      </c>
      <c r="C20" s="409" t="s">
        <v>261</v>
      </c>
      <c r="D20" s="410" t="s">
        <v>280</v>
      </c>
      <c r="E20" s="261">
        <f>IF(ISERROR(VLOOKUP("TAB1_"&amp;$E$4&amp;"_"&amp;$A20,ASSEGN!$A$1:$Z$200,6,FALSE)),0,VLOOKUP("TAB1_"&amp;$E$4&amp;"_"&amp;$A20,ASSEGN!$A$1:$Z$200,6,FALSE))</f>
        <v>0</v>
      </c>
      <c r="F20" s="262">
        <f>IF(ISERROR(VLOOKUP("TAB1_"&amp;$E$4&amp;"_"&amp;$A20,ASSEGN!$A$1:$Z$200,7,FALSE)),0,VLOOKUP("TAB1_"&amp;$E$4&amp;"_"&amp;$A20,ASSEGN!$A$1:$Z$200,7,FALSE))</f>
        <v>0</v>
      </c>
      <c r="G20" s="262">
        <f t="shared" si="0"/>
        <v>0</v>
      </c>
    </row>
    <row r="21" spans="1:7" x14ac:dyDescent="0.25">
      <c r="A21" s="408" t="s">
        <v>281</v>
      </c>
      <c r="B21" s="411" t="s">
        <v>260</v>
      </c>
      <c r="C21" s="409" t="s">
        <v>261</v>
      </c>
      <c r="D21" s="28" t="s">
        <v>282</v>
      </c>
      <c r="E21" s="261">
        <f>IF(ISERROR(VLOOKUP("TAB1_"&amp;$E$4&amp;"_"&amp;$A21,ASSEGN!$A$1:$Z$200,6,FALSE)),0,VLOOKUP("TAB1_"&amp;$E$4&amp;"_"&amp;$A21,ASSEGN!$A$1:$Z$200,6,FALSE))</f>
        <v>3916</v>
      </c>
      <c r="F21" s="262">
        <f>IF(ISERROR(VLOOKUP("TAB1_"&amp;$E$4&amp;"_"&amp;$A21,ASSEGN!$A$1:$Z$200,7,FALSE)),0,VLOOKUP("TAB1_"&amp;$E$4&amp;"_"&amp;$A21,ASSEGN!$A$1:$Z$200,7,FALSE))</f>
        <v>0</v>
      </c>
      <c r="G21" s="262">
        <f t="shared" si="0"/>
        <v>3916</v>
      </c>
    </row>
    <row r="22" spans="1:7" x14ac:dyDescent="0.25">
      <c r="A22" s="408" t="s">
        <v>283</v>
      </c>
      <c r="B22" s="411" t="s">
        <v>260</v>
      </c>
      <c r="C22" s="409" t="s">
        <v>284</v>
      </c>
      <c r="D22" s="410" t="s">
        <v>285</v>
      </c>
      <c r="E22" s="261">
        <f>IF(ISERROR(VLOOKUP("TAB1_"&amp;$E$4&amp;"_"&amp;$A22,ASSEGN!$A$1:$Z$200,6,FALSE)),0,VLOOKUP("TAB1_"&amp;$E$4&amp;"_"&amp;$A22,ASSEGN!$A$1:$Z$200,6,FALSE))</f>
        <v>0</v>
      </c>
      <c r="F22" s="262">
        <f>IF(ISERROR(VLOOKUP("TAB1_"&amp;$E$4&amp;"_"&amp;$A22,ASSEGN!$A$1:$Z$200,7,FALSE)),0,VLOOKUP("TAB1_"&amp;$E$4&amp;"_"&amp;$A22,ASSEGN!$A$1:$Z$200,7,FALSE))</f>
        <v>0</v>
      </c>
      <c r="G22" s="262">
        <f>+E22+F22</f>
        <v>0</v>
      </c>
    </row>
    <row r="23" spans="1:7" ht="31.5" x14ac:dyDescent="0.25">
      <c r="A23" s="408" t="s">
        <v>286</v>
      </c>
      <c r="B23" s="26" t="s">
        <v>260</v>
      </c>
      <c r="C23" s="409" t="s">
        <v>287</v>
      </c>
      <c r="D23" s="407" t="s">
        <v>288</v>
      </c>
      <c r="E23" s="261">
        <f>IF(ISERROR(VLOOKUP("TAB1_"&amp;$E$4&amp;"_"&amp;$A23,ASSEGN!$A$1:$Z$200,6,FALSE)),0,VLOOKUP("TAB1_"&amp;$E$4&amp;"_"&amp;$A23,ASSEGN!$A$1:$Z$200,6,FALSE))</f>
        <v>0</v>
      </c>
      <c r="F23" s="262">
        <f>IF(ISERROR(VLOOKUP("TAB1_"&amp;$E$4&amp;"_"&amp;$A23,ASSEGN!$A$1:$Z$200,7,FALSE)),0,VLOOKUP("TAB1_"&amp;$E$4&amp;"_"&amp;$A23,ASSEGN!$A$1:$Z$200,7,FALSE))</f>
        <v>0</v>
      </c>
      <c r="G23" s="262">
        <f>+E23+F23</f>
        <v>0</v>
      </c>
    </row>
    <row r="24" spans="1:7" ht="15.75" x14ac:dyDescent="0.25">
      <c r="A24" s="408" t="s">
        <v>289</v>
      </c>
      <c r="B24" s="29"/>
      <c r="C24" s="30"/>
      <c r="D24" s="31" t="s">
        <v>115</v>
      </c>
      <c r="E24" s="266">
        <f>IF(ISERROR(VLOOKUP("TAB1_"&amp;$E$4&amp;"_"&amp;$A24,ASSEGN!$A$1:$Z$200,6,FALSE)),0,VLOOKUP("TAB1_"&amp;$E$4&amp;"_"&amp;$A24,ASSEGN!$A$1:$Z$200,6,FALSE))</f>
        <v>94500</v>
      </c>
      <c r="F24" s="266">
        <f>IF(ISERROR(VLOOKUP("TAB1_"&amp;$E$4&amp;"_"&amp;$A24,ASSEGN!$A$1:$Z$200,6,FALSE)),0,VLOOKUP("TAB1_"&amp;$E$4&amp;"_"&amp;$A24,ASSEGN!$A$1:$Z$200,7,FALSE))</f>
        <v>0</v>
      </c>
      <c r="G24" s="267">
        <f t="shared" si="0"/>
        <v>94500</v>
      </c>
    </row>
    <row r="25" spans="1:7" x14ac:dyDescent="0.25">
      <c r="A25" s="408" t="s">
        <v>290</v>
      </c>
      <c r="B25" s="26" t="s">
        <v>291</v>
      </c>
      <c r="C25" s="409" t="s">
        <v>292</v>
      </c>
      <c r="D25" s="410" t="s">
        <v>293</v>
      </c>
      <c r="E25" s="261">
        <f>IF(ISERROR(VLOOKUP("TAB1_"&amp;$E$4&amp;"_"&amp;$A25,ASSEGN!$A$1:$Z$200,6,FALSE)),0,VLOOKUP("TAB1_"&amp;$E$4&amp;"_"&amp;$A25,ASSEGN!$A$1:$Z$200,6,FALSE))</f>
        <v>0</v>
      </c>
      <c r="F25" s="262">
        <f>IF(ISERROR(VLOOKUP("TAB1_"&amp;$E$4&amp;"_"&amp;$A25,ASSEGN!$A$1:$Z$200,7,FALSE)),0,VLOOKUP("TAB1_"&amp;$E$4&amp;"_"&amp;$A25,ASSEGN!$A$1:$Z$200,7,FALSE))</f>
        <v>0</v>
      </c>
      <c r="G25" s="262">
        <f t="shared" si="0"/>
        <v>0</v>
      </c>
    </row>
    <row r="26" spans="1:7" x14ac:dyDescent="0.25">
      <c r="A26" s="408" t="s">
        <v>294</v>
      </c>
      <c r="B26" s="26" t="s">
        <v>291</v>
      </c>
      <c r="C26" s="409" t="s">
        <v>292</v>
      </c>
      <c r="D26" s="410" t="s">
        <v>295</v>
      </c>
      <c r="E26" s="261">
        <f>IF(ISERROR(VLOOKUP("TAB1_"&amp;$E$4&amp;"_"&amp;$A26,ASSEGN!$A$1:$Z$200,6,FALSE)),0,VLOOKUP("TAB1_"&amp;$E$4&amp;"_"&amp;$A26,ASSEGN!$A$1:$Z$200,6,FALSE))</f>
        <v>0</v>
      </c>
      <c r="F26" s="262">
        <f>IF(ISERROR(VLOOKUP("TAB1_"&amp;$E$4&amp;"_"&amp;$A26,ASSEGN!$A$1:$Z$200,7,FALSE)),0,VLOOKUP("TAB1_"&amp;$E$4&amp;"_"&amp;$A26,ASSEGN!$A$1:$Z$200,7,FALSE))</f>
        <v>0</v>
      </c>
      <c r="G26" s="262">
        <f t="shared" si="0"/>
        <v>0</v>
      </c>
    </row>
    <row r="27" spans="1:7" x14ac:dyDescent="0.25">
      <c r="A27" s="408" t="s">
        <v>296</v>
      </c>
      <c r="B27" s="26" t="s">
        <v>291</v>
      </c>
      <c r="C27" s="409" t="s">
        <v>292</v>
      </c>
      <c r="D27" s="410" t="s">
        <v>297</v>
      </c>
      <c r="E27" s="261">
        <f>IF(ISERROR(VLOOKUP("TAB1_"&amp;$E$4&amp;"_"&amp;$A27,ASSEGN!$A$1:$Z$200,6,FALSE)),0,VLOOKUP("TAB1_"&amp;$E$4&amp;"_"&amp;$A27,ASSEGN!$A$1:$Z$200,6,FALSE))</f>
        <v>0</v>
      </c>
      <c r="F27" s="262">
        <f>IF(ISERROR(VLOOKUP("TAB1_"&amp;$E$4&amp;"_"&amp;$A27,ASSEGN!$A$1:$Z$200,7,FALSE)),0,VLOOKUP("TAB1_"&amp;$E$4&amp;"_"&amp;$A27,ASSEGN!$A$1:$Z$200,7,FALSE))</f>
        <v>0</v>
      </c>
      <c r="G27" s="262">
        <f t="shared" si="0"/>
        <v>0</v>
      </c>
    </row>
    <row r="28" spans="1:7" ht="15.75" x14ac:dyDescent="0.25">
      <c r="A28" s="408" t="s">
        <v>298</v>
      </c>
      <c r="B28" s="32"/>
      <c r="C28" s="33"/>
      <c r="D28" s="34" t="s">
        <v>124</v>
      </c>
      <c r="E28" s="268">
        <f>IF(ISERROR(VLOOKUP("TAB1_"&amp;$E$4&amp;"_"&amp;$A28,ASSEGN!$A$1:$Z$200,6,FALSE)),0,VLOOKUP("TAB1_"&amp;$E$4&amp;"_"&amp;$A28,ASSEGN!$A$1:$Z$200,6,FALSE))</f>
        <v>0</v>
      </c>
      <c r="F28" s="269">
        <f>IF(ISERROR(VLOOKUP("TAB1_"&amp;$E$4&amp;"_"&amp;$A28,ASSEGN!$A$1:$Z$200,7,FALSE)),0,VLOOKUP("TAB1_"&amp;$E$4&amp;"_"&amp;$A28,ASSEGN!$A$1:$Z$200,7,FALSE))</f>
        <v>0</v>
      </c>
      <c r="G28" s="267">
        <f t="shared" si="0"/>
        <v>0</v>
      </c>
    </row>
    <row r="29" spans="1:7" x14ac:dyDescent="0.25">
      <c r="A29" s="408" t="s">
        <v>299</v>
      </c>
      <c r="B29" s="26" t="s">
        <v>300</v>
      </c>
      <c r="C29" s="409" t="s">
        <v>301</v>
      </c>
      <c r="D29" s="410" t="s">
        <v>302</v>
      </c>
      <c r="E29" s="261">
        <f>IF(ISERROR(VLOOKUP("TAB1_"&amp;$E$4&amp;"_"&amp;$A29,ASSEGN!$A$1:$Z$200,6,FALSE)),0,VLOOKUP("TAB1_"&amp;$E$4&amp;"_"&amp;$A29,ASSEGN!$A$1:$Z$200,6,FALSE))</f>
        <v>0</v>
      </c>
      <c r="F29" s="262">
        <f>IF(ISERROR(VLOOKUP("TAB1_"&amp;$E$4&amp;"_"&amp;$A29,ASSEGN!$A$1:$Z$200,7,FALSE)),0,VLOOKUP("TAB1_"&amp;$E$4&amp;"_"&amp;$A29,ASSEGN!$A$1:$Z$200,7,FALSE))</f>
        <v>0</v>
      </c>
      <c r="G29" s="262">
        <f t="shared" si="0"/>
        <v>0</v>
      </c>
    </row>
    <row r="30" spans="1:7" ht="15.75" x14ac:dyDescent="0.25">
      <c r="A30" s="408" t="s">
        <v>303</v>
      </c>
      <c r="B30" s="35"/>
      <c r="C30" s="36"/>
      <c r="D30" s="37" t="s">
        <v>126</v>
      </c>
      <c r="E30" s="270">
        <f>IF(ISERROR(VLOOKUP("TAB1_"&amp;$E$4&amp;"_"&amp;$A30,ASSEGN!$A$1:$Z$200,6,FALSE)),0,VLOOKUP("TAB1_"&amp;$E$4&amp;"_"&amp;$A30,ASSEGN!$A$1:$Z$200,6,FALSE))</f>
        <v>0</v>
      </c>
      <c r="F30" s="271">
        <f>IF(ISERROR(VLOOKUP("TAB1_"&amp;$E$4&amp;"_"&amp;$A30,ASSEGN!$A$1:$Z$200,7,FALSE)),0,VLOOKUP("TAB1_"&amp;$E$4&amp;"_"&amp;$A30,ASSEGN!$A$1:$Z$200,7,FALSE))</f>
        <v>0</v>
      </c>
      <c r="G30" s="271">
        <f t="shared" si="0"/>
        <v>0</v>
      </c>
    </row>
    <row r="31" spans="1:7" ht="15.75" x14ac:dyDescent="0.25">
      <c r="A31" s="408"/>
      <c r="B31" s="17"/>
      <c r="C31" s="17"/>
      <c r="D31" s="17"/>
      <c r="E31" s="17"/>
      <c r="F31" s="17"/>
      <c r="G31" s="17"/>
    </row>
    <row r="32" spans="1:7" ht="15.75" x14ac:dyDescent="0.25">
      <c r="A32" s="408"/>
      <c r="B32" s="17"/>
      <c r="C32" s="18"/>
      <c r="D32" s="17"/>
      <c r="E32" s="17"/>
      <c r="F32" s="17"/>
      <c r="G32" s="17"/>
    </row>
    <row r="33" spans="1:7" ht="25.5" x14ac:dyDescent="0.25">
      <c r="A33" s="408"/>
      <c r="B33" s="446" t="s">
        <v>243</v>
      </c>
      <c r="C33" s="446"/>
      <c r="D33" s="38"/>
      <c r="E33" s="39" t="s">
        <v>106</v>
      </c>
      <c r="F33" s="17"/>
      <c r="G33" s="17"/>
    </row>
    <row r="34" spans="1:7" ht="15.75" x14ac:dyDescent="0.25">
      <c r="A34" s="408"/>
      <c r="B34" s="435" t="s">
        <v>247</v>
      </c>
      <c r="C34" s="435" t="s">
        <v>304</v>
      </c>
      <c r="D34" s="40" t="s">
        <v>249</v>
      </c>
      <c r="E34" s="22" t="str">
        <f>E7</f>
        <v>Flussi di cassa 2017</v>
      </c>
      <c r="F34" s="17"/>
      <c r="G34" s="17"/>
    </row>
    <row r="35" spans="1:7" ht="15.75" customHeight="1" x14ac:dyDescent="0.25">
      <c r="A35" s="408" t="s">
        <v>305</v>
      </c>
      <c r="B35" s="41" t="s">
        <v>306</v>
      </c>
      <c r="C35" s="41" t="s">
        <v>307</v>
      </c>
      <c r="D35" s="450" t="s">
        <v>308</v>
      </c>
      <c r="E35" s="452">
        <f>IF(ISERROR(VLOOKUP("TAB1_"&amp;$E$4&amp;"_"&amp;$A35,ASSEGN!$A$1:$Z$200,6,FALSE)),0,VLOOKUP("TAB1_"&amp;$E$4&amp;"_"&amp;$A35,ASSEGN!$A$1:$Z$200,6,FALSE))</f>
        <v>0</v>
      </c>
      <c r="F35" s="17"/>
      <c r="G35" s="17"/>
    </row>
    <row r="36" spans="1:7" ht="78.75" x14ac:dyDescent="0.25">
      <c r="A36" s="408"/>
      <c r="B36" s="42" t="s">
        <v>309</v>
      </c>
      <c r="C36" s="43" t="s">
        <v>310</v>
      </c>
      <c r="D36" s="451"/>
      <c r="E36" s="453">
        <f>IF(ISERROR(VLOOKUP("TAB1_"&amp;$E$4&amp;"_"&amp;$A36,#REF!,6,FALSE)),0,VLOOKUP("TAB1_"&amp;$E$4&amp;"_"&amp;$A36,#REF!,6,FALSE))</f>
        <v>0</v>
      </c>
      <c r="F36" s="17"/>
      <c r="G36" s="17"/>
    </row>
  </sheetData>
  <sheetProtection password="A01C" sheet="1"/>
  <mergeCells count="6">
    <mergeCell ref="B2:E2"/>
    <mergeCell ref="B6:C6"/>
    <mergeCell ref="E7:G7"/>
    <mergeCell ref="B33:C33"/>
    <mergeCell ref="D35:D36"/>
    <mergeCell ref="E35:E36"/>
  </mergeCells>
  <pageMargins left="0.7" right="0.7" top="0.75" bottom="0.75" header="0.3" footer="0.3"/>
  <pageSetup paperSize="9" scale="77" orientation="landscape" r:id="rId1"/>
  <headerFooter>
    <oddHeader>&amp;L&amp;14Piano di cassa dei flussi prospettici&amp;R&amp;14&amp;D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AS95"/>
  <sheetViews>
    <sheetView showGridLines="0" topLeftCell="B1" zoomScale="50" zoomScaleNormal="50" zoomScaleSheetLayoutView="30" workbookViewId="0">
      <pane xSplit="1" ySplit="8" topLeftCell="C57" activePane="bottomRight" state="frozen"/>
      <selection activeCell="B1" sqref="B1"/>
      <selection pane="topRight" activeCell="C1" sqref="C1"/>
      <selection pane="bottomLeft" activeCell="B9" sqref="B9"/>
      <selection pane="bottomRight" activeCell="D65" sqref="D65:D67"/>
    </sheetView>
  </sheetViews>
  <sheetFormatPr defaultRowHeight="26.25" x14ac:dyDescent="0.25"/>
  <cols>
    <col min="1" max="1" width="14.7109375" style="11" hidden="1" customWidth="1"/>
    <col min="2" max="2" width="201.28515625" style="10" customWidth="1"/>
    <col min="3" max="42" width="25.7109375" style="6" customWidth="1"/>
    <col min="43" max="45" width="25.7109375" style="11" customWidth="1"/>
    <col min="46" max="16384" width="9.140625" style="11"/>
  </cols>
  <sheetData>
    <row r="1" spans="1:45" s="8" customFormat="1" ht="18.75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5" s="8" customFormat="1" ht="18.75" x14ac:dyDescent="0.25">
      <c r="B2" s="128" t="s">
        <v>311</v>
      </c>
      <c r="C2" s="129" t="s">
        <v>312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5" x14ac:dyDescent="0.25">
      <c r="B3" s="130" t="str">
        <f>Info!$C$2</f>
        <v>ASST SANTI PAOLO E CARLO</v>
      </c>
      <c r="C3" s="130" t="str">
        <f>Info!$B$2</f>
        <v>702</v>
      </c>
    </row>
    <row r="6" spans="1:45" x14ac:dyDescent="0.25">
      <c r="C6" s="462" t="s">
        <v>313</v>
      </c>
      <c r="D6" s="463"/>
      <c r="E6" s="463"/>
      <c r="F6" s="463"/>
      <c r="G6" s="463"/>
      <c r="H6" s="463"/>
      <c r="I6" s="463"/>
      <c r="J6" s="463"/>
      <c r="K6" s="463"/>
      <c r="L6" s="464"/>
      <c r="M6" s="462" t="s">
        <v>314</v>
      </c>
      <c r="N6" s="463"/>
      <c r="O6" s="463"/>
      <c r="P6" s="463"/>
      <c r="Q6" s="463"/>
      <c r="R6" s="463"/>
      <c r="S6" s="463"/>
      <c r="T6" s="463"/>
      <c r="U6" s="463"/>
      <c r="V6" s="464"/>
      <c r="W6" s="462" t="s">
        <v>315</v>
      </c>
      <c r="X6" s="463"/>
      <c r="Y6" s="463"/>
      <c r="Z6" s="463"/>
      <c r="AA6" s="463"/>
      <c r="AB6" s="463"/>
      <c r="AC6" s="463"/>
      <c r="AD6" s="463"/>
      <c r="AE6" s="463"/>
      <c r="AF6" s="464"/>
      <c r="AG6" s="462" t="s">
        <v>316</v>
      </c>
      <c r="AH6" s="463"/>
      <c r="AI6" s="463"/>
      <c r="AJ6" s="463"/>
      <c r="AK6" s="463"/>
      <c r="AL6" s="463"/>
      <c r="AM6" s="463"/>
      <c r="AN6" s="463"/>
      <c r="AO6" s="463"/>
      <c r="AP6" s="464"/>
      <c r="AQ6" s="466" t="s">
        <v>317</v>
      </c>
      <c r="AR6" s="456" t="s">
        <v>318</v>
      </c>
      <c r="AS6" s="459" t="s">
        <v>319</v>
      </c>
    </row>
    <row r="7" spans="1:45" s="1" customFormat="1" ht="55.5" customHeight="1" x14ac:dyDescent="0.25">
      <c r="B7" s="471" t="s">
        <v>320</v>
      </c>
      <c r="C7" s="465" t="s">
        <v>321</v>
      </c>
      <c r="D7" s="465"/>
      <c r="E7" s="465"/>
      <c r="F7" s="465" t="s">
        <v>322</v>
      </c>
      <c r="G7" s="465"/>
      <c r="H7" s="465"/>
      <c r="I7" s="469" t="s">
        <v>323</v>
      </c>
      <c r="J7" s="465"/>
      <c r="K7" s="470"/>
      <c r="L7" s="454" t="s">
        <v>324</v>
      </c>
      <c r="M7" s="465" t="s">
        <v>325</v>
      </c>
      <c r="N7" s="465"/>
      <c r="O7" s="465"/>
      <c r="P7" s="465" t="s">
        <v>326</v>
      </c>
      <c r="Q7" s="465"/>
      <c r="R7" s="465"/>
      <c r="S7" s="469" t="s">
        <v>327</v>
      </c>
      <c r="T7" s="465"/>
      <c r="U7" s="470"/>
      <c r="V7" s="454" t="s">
        <v>324</v>
      </c>
      <c r="W7" s="465" t="s">
        <v>328</v>
      </c>
      <c r="X7" s="465"/>
      <c r="Y7" s="465"/>
      <c r="Z7" s="465" t="s">
        <v>329</v>
      </c>
      <c r="AA7" s="465"/>
      <c r="AB7" s="465"/>
      <c r="AC7" s="469" t="s">
        <v>330</v>
      </c>
      <c r="AD7" s="465"/>
      <c r="AE7" s="470"/>
      <c r="AF7" s="454" t="s">
        <v>324</v>
      </c>
      <c r="AG7" s="465" t="s">
        <v>331</v>
      </c>
      <c r="AH7" s="465"/>
      <c r="AI7" s="465"/>
      <c r="AJ7" s="465" t="s">
        <v>332</v>
      </c>
      <c r="AK7" s="465"/>
      <c r="AL7" s="465"/>
      <c r="AM7" s="469" t="s">
        <v>333</v>
      </c>
      <c r="AN7" s="465"/>
      <c r="AO7" s="470"/>
      <c r="AP7" s="454" t="s">
        <v>324</v>
      </c>
      <c r="AQ7" s="467"/>
      <c r="AR7" s="457"/>
      <c r="AS7" s="460"/>
    </row>
    <row r="8" spans="1:45" ht="37.5" x14ac:dyDescent="0.25">
      <c r="B8" s="471"/>
      <c r="C8" s="4" t="s">
        <v>334</v>
      </c>
      <c r="D8" s="4" t="s">
        <v>335</v>
      </c>
      <c r="E8" s="2" t="s">
        <v>336</v>
      </c>
      <c r="F8" s="4" t="s">
        <v>334</v>
      </c>
      <c r="G8" s="4" t="s">
        <v>335</v>
      </c>
      <c r="H8" s="2" t="s">
        <v>336</v>
      </c>
      <c r="I8" s="4" t="s">
        <v>334</v>
      </c>
      <c r="J8" s="4" t="s">
        <v>335</v>
      </c>
      <c r="K8" s="5" t="s">
        <v>336</v>
      </c>
      <c r="L8" s="455"/>
      <c r="M8" s="4" t="s">
        <v>334</v>
      </c>
      <c r="N8" s="4" t="s">
        <v>335</v>
      </c>
      <c r="O8" s="2" t="s">
        <v>336</v>
      </c>
      <c r="P8" s="4" t="s">
        <v>334</v>
      </c>
      <c r="Q8" s="4" t="s">
        <v>335</v>
      </c>
      <c r="R8" s="2" t="s">
        <v>336</v>
      </c>
      <c r="S8" s="4" t="s">
        <v>334</v>
      </c>
      <c r="T8" s="4" t="s">
        <v>335</v>
      </c>
      <c r="U8" s="5" t="s">
        <v>336</v>
      </c>
      <c r="V8" s="455"/>
      <c r="W8" s="4" t="s">
        <v>334</v>
      </c>
      <c r="X8" s="4" t="s">
        <v>335</v>
      </c>
      <c r="Y8" s="2" t="s">
        <v>336</v>
      </c>
      <c r="Z8" s="4" t="s">
        <v>334</v>
      </c>
      <c r="AA8" s="4" t="s">
        <v>335</v>
      </c>
      <c r="AB8" s="2" t="s">
        <v>336</v>
      </c>
      <c r="AC8" s="4" t="s">
        <v>334</v>
      </c>
      <c r="AD8" s="4" t="s">
        <v>335</v>
      </c>
      <c r="AE8" s="5" t="s">
        <v>336</v>
      </c>
      <c r="AF8" s="455"/>
      <c r="AG8" s="4" t="s">
        <v>334</v>
      </c>
      <c r="AH8" s="4" t="s">
        <v>335</v>
      </c>
      <c r="AI8" s="2" t="s">
        <v>336</v>
      </c>
      <c r="AJ8" s="4" t="s">
        <v>334</v>
      </c>
      <c r="AK8" s="4" t="s">
        <v>335</v>
      </c>
      <c r="AL8" s="2" t="s">
        <v>336</v>
      </c>
      <c r="AM8" s="4" t="s">
        <v>334</v>
      </c>
      <c r="AN8" s="4" t="s">
        <v>335</v>
      </c>
      <c r="AO8" s="5" t="s">
        <v>336</v>
      </c>
      <c r="AP8" s="455"/>
      <c r="AQ8" s="468"/>
      <c r="AR8" s="458"/>
      <c r="AS8" s="461"/>
    </row>
    <row r="9" spans="1:45" x14ac:dyDescent="0.25">
      <c r="B9" s="116" t="s">
        <v>337</v>
      </c>
      <c r="C9" s="117"/>
      <c r="D9" s="118"/>
      <c r="E9" s="119">
        <v>8110</v>
      </c>
      <c r="F9" s="117"/>
      <c r="G9" s="118"/>
      <c r="H9" s="119">
        <f>+E80</f>
        <v>17961</v>
      </c>
      <c r="I9" s="117"/>
      <c r="J9" s="118"/>
      <c r="K9" s="119">
        <f>+H80</f>
        <v>10697</v>
      </c>
      <c r="L9" s="120">
        <f>K9</f>
        <v>10697</v>
      </c>
      <c r="M9" s="117"/>
      <c r="N9" s="118"/>
      <c r="O9" s="119">
        <f>+K80</f>
        <v>10439</v>
      </c>
      <c r="P9" s="117"/>
      <c r="Q9" s="118"/>
      <c r="R9" s="119">
        <f>+O80</f>
        <v>11549</v>
      </c>
      <c r="S9" s="117"/>
      <c r="T9" s="118"/>
      <c r="U9" s="119">
        <f>+R80</f>
        <v>12119</v>
      </c>
      <c r="V9" s="120">
        <f>U9</f>
        <v>12119</v>
      </c>
      <c r="W9" s="117"/>
      <c r="X9" s="118"/>
      <c r="Y9" s="119">
        <f>+U80</f>
        <v>17116</v>
      </c>
      <c r="Z9" s="117"/>
      <c r="AA9" s="118"/>
      <c r="AB9" s="119">
        <f>+Y80</f>
        <v>20365</v>
      </c>
      <c r="AC9" s="117"/>
      <c r="AD9" s="118"/>
      <c r="AE9" s="119">
        <f>+AB80</f>
        <v>21635</v>
      </c>
      <c r="AF9" s="120">
        <f>AE9</f>
        <v>21635</v>
      </c>
      <c r="AG9" s="117"/>
      <c r="AH9" s="118"/>
      <c r="AI9" s="119">
        <f>+AE80</f>
        <v>23587</v>
      </c>
      <c r="AJ9" s="117"/>
      <c r="AK9" s="118"/>
      <c r="AL9" s="119">
        <f>+AI80</f>
        <v>24607</v>
      </c>
      <c r="AM9" s="117"/>
      <c r="AN9" s="118"/>
      <c r="AO9" s="119">
        <f>+AL80</f>
        <v>25777</v>
      </c>
      <c r="AP9" s="120">
        <f>AO9</f>
        <v>25777</v>
      </c>
      <c r="AQ9" s="121"/>
      <c r="AR9" s="121"/>
      <c r="AS9" s="121"/>
    </row>
    <row r="10" spans="1:45" ht="54" customHeight="1" x14ac:dyDescent="0.25">
      <c r="B10" s="122" t="s">
        <v>338</v>
      </c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</row>
    <row r="11" spans="1:45" x14ac:dyDescent="0.25">
      <c r="B11" s="125" t="s">
        <v>339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7"/>
    </row>
    <row r="12" spans="1:45" ht="25.5" customHeight="1" x14ac:dyDescent="0.25">
      <c r="A12" s="11" t="s">
        <v>340</v>
      </c>
      <c r="B12" s="131" t="s">
        <v>341</v>
      </c>
      <c r="C12" s="132">
        <f>SUM(C13:C14)</f>
        <v>7000</v>
      </c>
      <c r="D12" s="185">
        <f>SUM(D13:D14)</f>
        <v>0</v>
      </c>
      <c r="E12" s="133">
        <f t="shared" ref="E12:E17" si="0">SUM(C12:D12)</f>
        <v>7000</v>
      </c>
      <c r="F12" s="132">
        <f>SUM(F13:F14)</f>
        <v>7000</v>
      </c>
      <c r="G12" s="185">
        <f>SUM(G13:G14)</f>
        <v>0</v>
      </c>
      <c r="H12" s="133">
        <f t="shared" ref="H12:H17" si="1">SUM(F12:G12)</f>
        <v>7000</v>
      </c>
      <c r="I12" s="132">
        <f>SUM(I13:I14)</f>
        <v>7000</v>
      </c>
      <c r="J12" s="185">
        <f>SUM(J13:J14)</f>
        <v>0</v>
      </c>
      <c r="K12" s="133">
        <f t="shared" ref="K12:K17" si="2">SUM(I12:J12)</f>
        <v>7000</v>
      </c>
      <c r="L12" s="207">
        <f t="shared" ref="L12:L17" si="3">SUM(E12,H12,K12)</f>
        <v>21000</v>
      </c>
      <c r="M12" s="132">
        <f>SUM(M13:M14)</f>
        <v>7000</v>
      </c>
      <c r="N12" s="185">
        <f>SUM(N13:N14)</f>
        <v>0</v>
      </c>
      <c r="O12" s="133">
        <f t="shared" ref="O12:O17" si="4">SUM(M12:N12)</f>
        <v>7000</v>
      </c>
      <c r="P12" s="132">
        <f>SUM(P13:P14)</f>
        <v>7000</v>
      </c>
      <c r="Q12" s="185">
        <f>SUM(Q13:Q14)</f>
        <v>0</v>
      </c>
      <c r="R12" s="133">
        <f t="shared" ref="R12:R17" si="5">SUM(P12:Q12)</f>
        <v>7000</v>
      </c>
      <c r="S12" s="132">
        <f>SUM(S13:S14)</f>
        <v>7000</v>
      </c>
      <c r="T12" s="185">
        <f>SUM(T13:T14)</f>
        <v>0</v>
      </c>
      <c r="U12" s="133">
        <f t="shared" ref="U12:U17" si="6">SUM(S12:T12)</f>
        <v>7000</v>
      </c>
      <c r="V12" s="207">
        <f t="shared" ref="V12:V17" si="7">SUM(O12,R12,U12)</f>
        <v>21000</v>
      </c>
      <c r="W12" s="132">
        <f>SUM(W13:W14)</f>
        <v>7000</v>
      </c>
      <c r="X12" s="185">
        <f>SUM(X13:X14)</f>
        <v>0</v>
      </c>
      <c r="Y12" s="133">
        <f t="shared" ref="Y12:Y17" si="8">SUM(W12:X12)</f>
        <v>7000</v>
      </c>
      <c r="Z12" s="132">
        <f>SUM(Z13:Z14)</f>
        <v>7000</v>
      </c>
      <c r="AA12" s="185">
        <f>SUM(AA13:AA14)</f>
        <v>0</v>
      </c>
      <c r="AB12" s="133">
        <f t="shared" ref="AB12:AB17" si="9">SUM(Z12:AA12)</f>
        <v>7000</v>
      </c>
      <c r="AC12" s="132">
        <f>SUM(AC13:AC14)</f>
        <v>7000</v>
      </c>
      <c r="AD12" s="185">
        <f>SUM(AD13:AD14)</f>
        <v>0</v>
      </c>
      <c r="AE12" s="133">
        <f t="shared" ref="AE12:AE17" si="10">SUM(AC12:AD12)</f>
        <v>7000</v>
      </c>
      <c r="AF12" s="207">
        <f t="shared" ref="AF12:AF17" si="11">SUM(Y12,AB12,AE12)</f>
        <v>21000</v>
      </c>
      <c r="AG12" s="132">
        <f>SUM(AG13:AG14)</f>
        <v>7000</v>
      </c>
      <c r="AH12" s="185">
        <f>SUM(AH13:AH14)</f>
        <v>0</v>
      </c>
      <c r="AI12" s="133">
        <f t="shared" ref="AI12:AI17" si="12">SUM(AG12:AH12)</f>
        <v>7000</v>
      </c>
      <c r="AJ12" s="132">
        <f>SUM(AJ13:AJ14)</f>
        <v>7000</v>
      </c>
      <c r="AK12" s="185">
        <f>SUM(AK13:AK14)</f>
        <v>0</v>
      </c>
      <c r="AL12" s="133">
        <f t="shared" ref="AL12:AL17" si="13">SUM(AJ12:AK12)</f>
        <v>7000</v>
      </c>
      <c r="AM12" s="132">
        <f>SUM(AM13:AM14)</f>
        <v>9063</v>
      </c>
      <c r="AN12" s="185">
        <f>SUM(AN13:AN14)</f>
        <v>0</v>
      </c>
      <c r="AO12" s="133">
        <f t="shared" ref="AO12:AO17" si="14">SUM(AM12:AN12)</f>
        <v>9063</v>
      </c>
      <c r="AP12" s="207">
        <f t="shared" ref="AP12:AP17" si="15">SUM(AI12,AL12,AO12)</f>
        <v>23063</v>
      </c>
      <c r="AQ12" s="134">
        <f>C12+F12+I12+M12+P12+S12+W12+Z12+AC12+AG12+AJ12+AM12</f>
        <v>86063</v>
      </c>
      <c r="AR12" s="134">
        <f>D12+G12+J12+N12+Q12+T12+X12+AA12+AD12+AH12+AK12+AN12</f>
        <v>0</v>
      </c>
      <c r="AS12" s="134">
        <f>SUM(AQ12:AR12)</f>
        <v>86063</v>
      </c>
    </row>
    <row r="13" spans="1:45" ht="25.5" customHeight="1" x14ac:dyDescent="0.25">
      <c r="A13" s="11" t="s">
        <v>342</v>
      </c>
      <c r="B13" s="135" t="s">
        <v>343</v>
      </c>
      <c r="C13" s="186"/>
      <c r="D13" s="187"/>
      <c r="E13" s="188">
        <f t="shared" si="0"/>
        <v>0</v>
      </c>
      <c r="F13" s="186"/>
      <c r="G13" s="187"/>
      <c r="H13" s="188">
        <f t="shared" si="1"/>
        <v>0</v>
      </c>
      <c r="I13" s="186"/>
      <c r="J13" s="187"/>
      <c r="K13" s="188">
        <f t="shared" si="2"/>
        <v>0</v>
      </c>
      <c r="L13" s="208">
        <f t="shared" si="3"/>
        <v>0</v>
      </c>
      <c r="M13" s="186"/>
      <c r="N13" s="187"/>
      <c r="O13" s="188">
        <f t="shared" si="4"/>
        <v>0</v>
      </c>
      <c r="P13" s="186"/>
      <c r="Q13" s="187"/>
      <c r="R13" s="188">
        <f t="shared" si="5"/>
        <v>0</v>
      </c>
      <c r="S13" s="186"/>
      <c r="T13" s="187"/>
      <c r="U13" s="188">
        <f t="shared" si="6"/>
        <v>0</v>
      </c>
      <c r="V13" s="208">
        <f t="shared" si="7"/>
        <v>0</v>
      </c>
      <c r="W13" s="186"/>
      <c r="X13" s="187"/>
      <c r="Y13" s="188">
        <f t="shared" si="8"/>
        <v>0</v>
      </c>
      <c r="Z13" s="186"/>
      <c r="AA13" s="187"/>
      <c r="AB13" s="188">
        <f t="shared" si="9"/>
        <v>0</v>
      </c>
      <c r="AC13" s="186"/>
      <c r="AD13" s="187"/>
      <c r="AE13" s="188">
        <f t="shared" si="10"/>
        <v>0</v>
      </c>
      <c r="AF13" s="208">
        <f t="shared" si="11"/>
        <v>0</v>
      </c>
      <c r="AG13" s="186"/>
      <c r="AH13" s="187"/>
      <c r="AI13" s="188">
        <f t="shared" si="12"/>
        <v>0</v>
      </c>
      <c r="AJ13" s="186"/>
      <c r="AK13" s="187"/>
      <c r="AL13" s="188">
        <f t="shared" si="13"/>
        <v>0</v>
      </c>
      <c r="AM13" s="186"/>
      <c r="AN13" s="187"/>
      <c r="AO13" s="188">
        <f t="shared" si="14"/>
        <v>0</v>
      </c>
      <c r="AP13" s="208">
        <f t="shared" si="15"/>
        <v>0</v>
      </c>
      <c r="AQ13" s="15">
        <f t="shared" ref="AQ13:AR17" si="16">C13+F13+I13+M13+P13+S13+W13+Z13+AC13+AG13+AJ13+AM13</f>
        <v>0</v>
      </c>
      <c r="AR13" s="15">
        <f t="shared" si="16"/>
        <v>0</v>
      </c>
      <c r="AS13" s="15">
        <f t="shared" ref="AS13:AS83" si="17">SUM(AQ13:AR13)</f>
        <v>0</v>
      </c>
    </row>
    <row r="14" spans="1:45" ht="25.5" customHeight="1" x14ac:dyDescent="0.25">
      <c r="A14" s="11" t="s">
        <v>344</v>
      </c>
      <c r="B14" s="135" t="s">
        <v>345</v>
      </c>
      <c r="C14" s="186">
        <v>7000</v>
      </c>
      <c r="D14" s="187"/>
      <c r="E14" s="188">
        <f t="shared" si="0"/>
        <v>7000</v>
      </c>
      <c r="F14" s="186">
        <v>7000</v>
      </c>
      <c r="G14" s="187"/>
      <c r="H14" s="188">
        <f t="shared" si="1"/>
        <v>7000</v>
      </c>
      <c r="I14" s="186">
        <v>7000</v>
      </c>
      <c r="J14" s="187"/>
      <c r="K14" s="188">
        <f t="shared" si="2"/>
        <v>7000</v>
      </c>
      <c r="L14" s="208">
        <f t="shared" si="3"/>
        <v>21000</v>
      </c>
      <c r="M14" s="186">
        <v>7000</v>
      </c>
      <c r="N14" s="187"/>
      <c r="O14" s="188">
        <f t="shared" si="4"/>
        <v>7000</v>
      </c>
      <c r="P14" s="186">
        <v>7000</v>
      </c>
      <c r="Q14" s="187"/>
      <c r="R14" s="188">
        <f t="shared" si="5"/>
        <v>7000</v>
      </c>
      <c r="S14" s="186">
        <v>7000</v>
      </c>
      <c r="T14" s="187"/>
      <c r="U14" s="188">
        <f t="shared" si="6"/>
        <v>7000</v>
      </c>
      <c r="V14" s="208">
        <f t="shared" si="7"/>
        <v>21000</v>
      </c>
      <c r="W14" s="186">
        <v>7000</v>
      </c>
      <c r="X14" s="187"/>
      <c r="Y14" s="188">
        <f t="shared" si="8"/>
        <v>7000</v>
      </c>
      <c r="Z14" s="186">
        <v>7000</v>
      </c>
      <c r="AA14" s="187"/>
      <c r="AB14" s="188">
        <f t="shared" si="9"/>
        <v>7000</v>
      </c>
      <c r="AC14" s="186">
        <v>7000</v>
      </c>
      <c r="AD14" s="187"/>
      <c r="AE14" s="188">
        <f t="shared" si="10"/>
        <v>7000</v>
      </c>
      <c r="AF14" s="208">
        <f t="shared" si="11"/>
        <v>21000</v>
      </c>
      <c r="AG14" s="186">
        <v>7000</v>
      </c>
      <c r="AH14" s="187"/>
      <c r="AI14" s="188">
        <f t="shared" si="12"/>
        <v>7000</v>
      </c>
      <c r="AJ14" s="186">
        <v>7000</v>
      </c>
      <c r="AK14" s="187"/>
      <c r="AL14" s="188">
        <f t="shared" si="13"/>
        <v>7000</v>
      </c>
      <c r="AM14" s="186">
        <v>9063</v>
      </c>
      <c r="AN14" s="187"/>
      <c r="AO14" s="188">
        <f t="shared" si="14"/>
        <v>9063</v>
      </c>
      <c r="AP14" s="208">
        <f t="shared" si="15"/>
        <v>23063</v>
      </c>
      <c r="AQ14" s="15">
        <f t="shared" si="16"/>
        <v>86063</v>
      </c>
      <c r="AR14" s="15">
        <f t="shared" si="16"/>
        <v>0</v>
      </c>
      <c r="AS14" s="15">
        <f t="shared" si="17"/>
        <v>86063</v>
      </c>
    </row>
    <row r="15" spans="1:45" x14ac:dyDescent="0.25">
      <c r="A15" s="11" t="s">
        <v>346</v>
      </c>
      <c r="B15" s="136" t="s">
        <v>347</v>
      </c>
      <c r="C15" s="189"/>
      <c r="D15" s="190"/>
      <c r="E15" s="191">
        <f t="shared" si="0"/>
        <v>0</v>
      </c>
      <c r="F15" s="189"/>
      <c r="G15" s="190"/>
      <c r="H15" s="191">
        <f t="shared" si="1"/>
        <v>0</v>
      </c>
      <c r="I15" s="189"/>
      <c r="J15" s="190"/>
      <c r="K15" s="191">
        <f t="shared" si="2"/>
        <v>0</v>
      </c>
      <c r="L15" s="209">
        <f t="shared" si="3"/>
        <v>0</v>
      </c>
      <c r="M15" s="189"/>
      <c r="N15" s="190"/>
      <c r="O15" s="191">
        <f t="shared" si="4"/>
        <v>0</v>
      </c>
      <c r="P15" s="189"/>
      <c r="Q15" s="190"/>
      <c r="R15" s="191">
        <f t="shared" si="5"/>
        <v>0</v>
      </c>
      <c r="S15" s="189"/>
      <c r="T15" s="190"/>
      <c r="U15" s="191">
        <f t="shared" si="6"/>
        <v>0</v>
      </c>
      <c r="V15" s="209">
        <f t="shared" si="7"/>
        <v>0</v>
      </c>
      <c r="W15" s="189"/>
      <c r="X15" s="190"/>
      <c r="Y15" s="191">
        <f t="shared" si="8"/>
        <v>0</v>
      </c>
      <c r="Z15" s="189"/>
      <c r="AA15" s="190"/>
      <c r="AB15" s="191">
        <f t="shared" si="9"/>
        <v>0</v>
      </c>
      <c r="AC15" s="189"/>
      <c r="AD15" s="190"/>
      <c r="AE15" s="191">
        <f t="shared" si="10"/>
        <v>0</v>
      </c>
      <c r="AF15" s="209">
        <f t="shared" si="11"/>
        <v>0</v>
      </c>
      <c r="AG15" s="189"/>
      <c r="AH15" s="190"/>
      <c r="AI15" s="191">
        <f t="shared" si="12"/>
        <v>0</v>
      </c>
      <c r="AJ15" s="189"/>
      <c r="AK15" s="190"/>
      <c r="AL15" s="191">
        <f t="shared" si="13"/>
        <v>0</v>
      </c>
      <c r="AM15" s="189"/>
      <c r="AN15" s="190"/>
      <c r="AO15" s="191">
        <f t="shared" si="14"/>
        <v>0</v>
      </c>
      <c r="AP15" s="209">
        <f t="shared" si="15"/>
        <v>0</v>
      </c>
      <c r="AQ15" s="142">
        <f t="shared" si="16"/>
        <v>0</v>
      </c>
      <c r="AR15" s="142">
        <f t="shared" si="16"/>
        <v>0</v>
      </c>
      <c r="AS15" s="142">
        <f t="shared" si="17"/>
        <v>0</v>
      </c>
    </row>
    <row r="16" spans="1:45" x14ac:dyDescent="0.25">
      <c r="A16" s="11" t="s">
        <v>348</v>
      </c>
      <c r="B16" s="137" t="s">
        <v>349</v>
      </c>
      <c r="C16" s="192"/>
      <c r="D16" s="193"/>
      <c r="E16" s="194">
        <f t="shared" si="0"/>
        <v>0</v>
      </c>
      <c r="F16" s="192"/>
      <c r="G16" s="193"/>
      <c r="H16" s="194">
        <f t="shared" si="1"/>
        <v>0</v>
      </c>
      <c r="I16" s="192"/>
      <c r="J16" s="193"/>
      <c r="K16" s="194">
        <f t="shared" si="2"/>
        <v>0</v>
      </c>
      <c r="L16" s="210">
        <f t="shared" si="3"/>
        <v>0</v>
      </c>
      <c r="M16" s="192"/>
      <c r="N16" s="193"/>
      <c r="O16" s="194">
        <f t="shared" si="4"/>
        <v>0</v>
      </c>
      <c r="P16" s="192"/>
      <c r="Q16" s="193"/>
      <c r="R16" s="194">
        <f t="shared" si="5"/>
        <v>0</v>
      </c>
      <c r="S16" s="192"/>
      <c r="T16" s="193"/>
      <c r="U16" s="194">
        <f t="shared" si="6"/>
        <v>0</v>
      </c>
      <c r="V16" s="210">
        <f t="shared" si="7"/>
        <v>0</v>
      </c>
      <c r="W16" s="192"/>
      <c r="X16" s="193"/>
      <c r="Y16" s="194">
        <f t="shared" si="8"/>
        <v>0</v>
      </c>
      <c r="Z16" s="192"/>
      <c r="AA16" s="193"/>
      <c r="AB16" s="194">
        <f t="shared" si="9"/>
        <v>0</v>
      </c>
      <c r="AC16" s="192"/>
      <c r="AD16" s="193"/>
      <c r="AE16" s="194">
        <f t="shared" si="10"/>
        <v>0</v>
      </c>
      <c r="AF16" s="210">
        <f t="shared" si="11"/>
        <v>0</v>
      </c>
      <c r="AG16" s="192"/>
      <c r="AH16" s="193"/>
      <c r="AI16" s="194">
        <f t="shared" si="12"/>
        <v>0</v>
      </c>
      <c r="AJ16" s="192"/>
      <c r="AK16" s="193"/>
      <c r="AL16" s="194">
        <f t="shared" si="13"/>
        <v>0</v>
      </c>
      <c r="AM16" s="192"/>
      <c r="AN16" s="193"/>
      <c r="AO16" s="194">
        <f t="shared" si="14"/>
        <v>0</v>
      </c>
      <c r="AP16" s="210">
        <f t="shared" si="15"/>
        <v>0</v>
      </c>
      <c r="AQ16" s="140">
        <f t="shared" si="16"/>
        <v>0</v>
      </c>
      <c r="AR16" s="140">
        <f t="shared" si="16"/>
        <v>0</v>
      </c>
      <c r="AS16" s="140">
        <f t="shared" si="17"/>
        <v>0</v>
      </c>
    </row>
    <row r="17" spans="1:45" x14ac:dyDescent="0.25">
      <c r="A17" s="11" t="s">
        <v>350</v>
      </c>
      <c r="B17" s="44" t="s">
        <v>351</v>
      </c>
      <c r="C17" s="195"/>
      <c r="D17" s="196"/>
      <c r="E17" s="197">
        <f t="shared" si="0"/>
        <v>0</v>
      </c>
      <c r="F17" s="195"/>
      <c r="G17" s="196"/>
      <c r="H17" s="197">
        <f t="shared" si="1"/>
        <v>0</v>
      </c>
      <c r="I17" s="195"/>
      <c r="J17" s="196"/>
      <c r="K17" s="197">
        <f t="shared" si="2"/>
        <v>0</v>
      </c>
      <c r="L17" s="208">
        <f t="shared" si="3"/>
        <v>0</v>
      </c>
      <c r="M17" s="195"/>
      <c r="N17" s="196"/>
      <c r="O17" s="197">
        <f t="shared" si="4"/>
        <v>0</v>
      </c>
      <c r="P17" s="195"/>
      <c r="Q17" s="196"/>
      <c r="R17" s="197">
        <f t="shared" si="5"/>
        <v>0</v>
      </c>
      <c r="S17" s="195"/>
      <c r="T17" s="196"/>
      <c r="U17" s="197">
        <f t="shared" si="6"/>
        <v>0</v>
      </c>
      <c r="V17" s="208">
        <f t="shared" si="7"/>
        <v>0</v>
      </c>
      <c r="W17" s="195"/>
      <c r="X17" s="196"/>
      <c r="Y17" s="197">
        <f t="shared" si="8"/>
        <v>0</v>
      </c>
      <c r="Z17" s="195"/>
      <c r="AA17" s="196"/>
      <c r="AB17" s="197">
        <f t="shared" si="9"/>
        <v>0</v>
      </c>
      <c r="AC17" s="195"/>
      <c r="AD17" s="196"/>
      <c r="AE17" s="197">
        <f t="shared" si="10"/>
        <v>0</v>
      </c>
      <c r="AF17" s="208">
        <f t="shared" si="11"/>
        <v>0</v>
      </c>
      <c r="AG17" s="195"/>
      <c r="AH17" s="196"/>
      <c r="AI17" s="197">
        <f t="shared" si="12"/>
        <v>0</v>
      </c>
      <c r="AJ17" s="195"/>
      <c r="AK17" s="196"/>
      <c r="AL17" s="197">
        <f t="shared" si="13"/>
        <v>0</v>
      </c>
      <c r="AM17" s="195"/>
      <c r="AN17" s="196"/>
      <c r="AO17" s="197">
        <f t="shared" si="14"/>
        <v>0</v>
      </c>
      <c r="AP17" s="208">
        <f t="shared" si="15"/>
        <v>0</v>
      </c>
      <c r="AQ17" s="15">
        <f t="shared" si="16"/>
        <v>0</v>
      </c>
      <c r="AR17" s="15">
        <f t="shared" si="16"/>
        <v>0</v>
      </c>
      <c r="AS17" s="15">
        <f t="shared" si="17"/>
        <v>0</v>
      </c>
    </row>
    <row r="18" spans="1:45" x14ac:dyDescent="0.4">
      <c r="B18" s="143" t="s">
        <v>352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5"/>
    </row>
    <row r="19" spans="1:45" x14ac:dyDescent="0.25">
      <c r="A19" s="11" t="s">
        <v>353</v>
      </c>
      <c r="B19" s="149" t="s">
        <v>354</v>
      </c>
      <c r="C19" s="189">
        <v>10000</v>
      </c>
      <c r="D19" s="190"/>
      <c r="E19" s="191">
        <f>SUM(C19:D19)</f>
        <v>10000</v>
      </c>
      <c r="F19" s="189">
        <v>9000</v>
      </c>
      <c r="G19" s="190"/>
      <c r="H19" s="191">
        <f>SUM(F19:G19)</f>
        <v>9000</v>
      </c>
      <c r="I19" s="189">
        <v>12000</v>
      </c>
      <c r="J19" s="190"/>
      <c r="K19" s="191">
        <f>SUM(I19:J19)</f>
        <v>12000</v>
      </c>
      <c r="L19" s="209">
        <f>SUM(E19,H19,K19)</f>
        <v>31000</v>
      </c>
      <c r="M19" s="189">
        <v>12000</v>
      </c>
      <c r="N19" s="190"/>
      <c r="O19" s="191">
        <f>SUM(M19:N19)</f>
        <v>12000</v>
      </c>
      <c r="P19" s="189">
        <v>12000</v>
      </c>
      <c r="Q19" s="190"/>
      <c r="R19" s="191">
        <f>SUM(P19:Q19)</f>
        <v>12000</v>
      </c>
      <c r="S19" s="189">
        <v>12000</v>
      </c>
      <c r="T19" s="190"/>
      <c r="U19" s="191">
        <f>SUM(S19:T19)</f>
        <v>12000</v>
      </c>
      <c r="V19" s="209">
        <f>SUM(O19,R19,U19)</f>
        <v>36000</v>
      </c>
      <c r="W19" s="189">
        <v>12000</v>
      </c>
      <c r="X19" s="190"/>
      <c r="Y19" s="191">
        <f>SUM(W19:X19)</f>
        <v>12000</v>
      </c>
      <c r="Z19" s="189">
        <v>12000</v>
      </c>
      <c r="AA19" s="190"/>
      <c r="AB19" s="191">
        <f>SUM(Z19:AA19)</f>
        <v>12000</v>
      </c>
      <c r="AC19" s="189">
        <v>12000</v>
      </c>
      <c r="AD19" s="190"/>
      <c r="AE19" s="191">
        <f>SUM(AC19:AD19)</f>
        <v>12000</v>
      </c>
      <c r="AF19" s="209">
        <f>SUM(Y19,AB19,AE19)</f>
        <v>36000</v>
      </c>
      <c r="AG19" s="189">
        <v>12000</v>
      </c>
      <c r="AH19" s="190"/>
      <c r="AI19" s="191">
        <f>SUM(AG19:AH19)</f>
        <v>12000</v>
      </c>
      <c r="AJ19" s="189">
        <v>12000</v>
      </c>
      <c r="AK19" s="190"/>
      <c r="AL19" s="191">
        <f>SUM(AJ19:AK19)</f>
        <v>12000</v>
      </c>
      <c r="AM19" s="189">
        <v>12000</v>
      </c>
      <c r="AN19" s="190"/>
      <c r="AO19" s="191">
        <f>SUM(AM19:AN19)</f>
        <v>12000</v>
      </c>
      <c r="AP19" s="209">
        <f>SUM(AI19,AL19,AO19)</f>
        <v>36000</v>
      </c>
      <c r="AQ19" s="142">
        <f t="shared" ref="AQ19:AR24" si="18">C19+F19+I19+M19+P19+S19+W19+Z19+AC19+AG19+AJ19+AM19</f>
        <v>139000</v>
      </c>
      <c r="AR19" s="142">
        <f t="shared" si="18"/>
        <v>0</v>
      </c>
      <c r="AS19" s="142">
        <f t="shared" si="17"/>
        <v>139000</v>
      </c>
    </row>
    <row r="20" spans="1:45" x14ac:dyDescent="0.25">
      <c r="A20" s="11" t="s">
        <v>355</v>
      </c>
      <c r="B20" s="150" t="s">
        <v>356</v>
      </c>
      <c r="C20" s="192"/>
      <c r="D20" s="193">
        <v>6708</v>
      </c>
      <c r="E20" s="194">
        <f>SUM(C20:D20)</f>
        <v>6708</v>
      </c>
      <c r="F20" s="192"/>
      <c r="G20" s="193">
        <v>12000</v>
      </c>
      <c r="H20" s="194">
        <f>SUM(F20:G20)</f>
        <v>12000</v>
      </c>
      <c r="I20" s="192">
        <v>9438</v>
      </c>
      <c r="J20" s="205">
        <v>12000</v>
      </c>
      <c r="K20" s="194">
        <f>SUM(I20:J20)</f>
        <v>21438</v>
      </c>
      <c r="L20" s="210">
        <f t="shared" ref="L20:L29" si="19">SUM(E20,H20,K20)</f>
        <v>40146</v>
      </c>
      <c r="M20" s="192">
        <v>9438</v>
      </c>
      <c r="N20" s="205">
        <v>10000</v>
      </c>
      <c r="O20" s="194">
        <f>SUM(M20:N20)</f>
        <v>19438</v>
      </c>
      <c r="P20" s="192">
        <v>9438</v>
      </c>
      <c r="Q20" s="205">
        <v>8000</v>
      </c>
      <c r="R20" s="194">
        <f>SUM(P20:Q20)</f>
        <v>17438</v>
      </c>
      <c r="S20" s="192">
        <v>9438</v>
      </c>
      <c r="T20" s="205">
        <v>5000</v>
      </c>
      <c r="U20" s="194">
        <f>SUM(S20:T20)</f>
        <v>14438</v>
      </c>
      <c r="V20" s="210">
        <f t="shared" ref="V20:V29" si="20">SUM(O20,R20,U20)</f>
        <v>51314</v>
      </c>
      <c r="W20" s="192">
        <v>9438</v>
      </c>
      <c r="X20" s="193">
        <v>2000</v>
      </c>
      <c r="Y20" s="194">
        <f>SUM(W20:X20)</f>
        <v>11438</v>
      </c>
      <c r="Z20" s="192">
        <v>9438</v>
      </c>
      <c r="AA20" s="193"/>
      <c r="AB20" s="194">
        <f>SUM(Z20:AA20)</f>
        <v>9438</v>
      </c>
      <c r="AC20" s="192">
        <v>9438</v>
      </c>
      <c r="AD20" s="193"/>
      <c r="AE20" s="194">
        <f>SUM(AC20:AD20)</f>
        <v>9438</v>
      </c>
      <c r="AF20" s="210">
        <f t="shared" ref="AF20:AF29" si="21">SUM(Y20,AB20,AE20)</f>
        <v>30314</v>
      </c>
      <c r="AG20" s="192">
        <v>9438</v>
      </c>
      <c r="AH20" s="193"/>
      <c r="AI20" s="194">
        <f>SUM(AG20:AH20)</f>
        <v>9438</v>
      </c>
      <c r="AJ20" s="192">
        <v>9438</v>
      </c>
      <c r="AK20" s="193"/>
      <c r="AL20" s="194">
        <f>SUM(AJ20:AK20)</f>
        <v>9438</v>
      </c>
      <c r="AM20" s="192">
        <v>9438</v>
      </c>
      <c r="AN20" s="193"/>
      <c r="AO20" s="194">
        <f>SUM(AM20:AN20)</f>
        <v>9438</v>
      </c>
      <c r="AP20" s="210">
        <f t="shared" ref="AP20:AP29" si="22">SUM(AI20,AL20,AO20)</f>
        <v>28314</v>
      </c>
      <c r="AQ20" s="140">
        <f t="shared" si="18"/>
        <v>94380</v>
      </c>
      <c r="AR20" s="140">
        <f t="shared" si="18"/>
        <v>55708</v>
      </c>
      <c r="AS20" s="140">
        <f t="shared" si="17"/>
        <v>150088</v>
      </c>
    </row>
    <row r="21" spans="1:45" x14ac:dyDescent="0.4">
      <c r="B21" s="143" t="s">
        <v>357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</row>
    <row r="22" spans="1:45" x14ac:dyDescent="0.25">
      <c r="A22" s="11" t="s">
        <v>358</v>
      </c>
      <c r="B22" s="149" t="s">
        <v>359</v>
      </c>
      <c r="C22" s="189"/>
      <c r="D22" s="190"/>
      <c r="E22" s="191">
        <f>SUM(C22:D22)</f>
        <v>0</v>
      </c>
      <c r="F22" s="189"/>
      <c r="G22" s="190"/>
      <c r="H22" s="191">
        <f>SUM(F22:G22)</f>
        <v>0</v>
      </c>
      <c r="I22" s="189"/>
      <c r="J22" s="190"/>
      <c r="K22" s="191">
        <f>SUM(I22:J22)</f>
        <v>0</v>
      </c>
      <c r="L22" s="209">
        <f t="shared" si="19"/>
        <v>0</v>
      </c>
      <c r="M22" s="189"/>
      <c r="N22" s="190"/>
      <c r="O22" s="191">
        <f>SUM(M22:N22)</f>
        <v>0</v>
      </c>
      <c r="P22" s="189"/>
      <c r="Q22" s="190"/>
      <c r="R22" s="191">
        <f>SUM(P22:Q22)</f>
        <v>0</v>
      </c>
      <c r="S22" s="189"/>
      <c r="T22" s="190"/>
      <c r="U22" s="191">
        <f>SUM(S22:T22)</f>
        <v>0</v>
      </c>
      <c r="V22" s="209">
        <f t="shared" si="20"/>
        <v>0</v>
      </c>
      <c r="W22" s="189"/>
      <c r="X22" s="190"/>
      <c r="Y22" s="191">
        <f>SUM(W22:X22)</f>
        <v>0</v>
      </c>
      <c r="Z22" s="189"/>
      <c r="AA22" s="190"/>
      <c r="AB22" s="191">
        <f>SUM(Z22:AA22)</f>
        <v>0</v>
      </c>
      <c r="AC22" s="189"/>
      <c r="AD22" s="190"/>
      <c r="AE22" s="191">
        <f>SUM(AC22:AD22)</f>
        <v>0</v>
      </c>
      <c r="AF22" s="209">
        <f t="shared" si="21"/>
        <v>0</v>
      </c>
      <c r="AG22" s="189"/>
      <c r="AH22" s="190"/>
      <c r="AI22" s="191">
        <f>SUM(AG22:AH22)</f>
        <v>0</v>
      </c>
      <c r="AJ22" s="189"/>
      <c r="AK22" s="190"/>
      <c r="AL22" s="191">
        <f>SUM(AJ22:AK22)</f>
        <v>0</v>
      </c>
      <c r="AM22" s="189"/>
      <c r="AN22" s="190"/>
      <c r="AO22" s="191">
        <f>SUM(AM22:AN22)</f>
        <v>0</v>
      </c>
      <c r="AP22" s="209">
        <f t="shared" si="22"/>
        <v>0</v>
      </c>
      <c r="AQ22" s="142">
        <f t="shared" si="18"/>
        <v>0</v>
      </c>
      <c r="AR22" s="142">
        <f t="shared" si="18"/>
        <v>0</v>
      </c>
      <c r="AS22" s="142">
        <f t="shared" si="17"/>
        <v>0</v>
      </c>
    </row>
    <row r="23" spans="1:45" x14ac:dyDescent="0.25">
      <c r="A23" s="11" t="s">
        <v>360</v>
      </c>
      <c r="B23" s="149" t="s">
        <v>361</v>
      </c>
      <c r="C23" s="189"/>
      <c r="D23" s="190"/>
      <c r="E23" s="191">
        <f>SUM(C23:D23)</f>
        <v>0</v>
      </c>
      <c r="F23" s="189"/>
      <c r="G23" s="190"/>
      <c r="H23" s="191">
        <f>SUM(F23:G23)</f>
        <v>0</v>
      </c>
      <c r="I23" s="189"/>
      <c r="J23" s="190"/>
      <c r="K23" s="191">
        <f>SUM(I23:J23)</f>
        <v>0</v>
      </c>
      <c r="L23" s="209">
        <f>SUM(E23,H23,K23)</f>
        <v>0</v>
      </c>
      <c r="M23" s="189"/>
      <c r="N23" s="190"/>
      <c r="O23" s="191">
        <f>SUM(M23:N23)</f>
        <v>0</v>
      </c>
      <c r="P23" s="189"/>
      <c r="Q23" s="190"/>
      <c r="R23" s="191">
        <f>SUM(P23:Q23)</f>
        <v>0</v>
      </c>
      <c r="S23" s="189"/>
      <c r="T23" s="190"/>
      <c r="U23" s="191">
        <f>SUM(S23:T23)</f>
        <v>0</v>
      </c>
      <c r="V23" s="209">
        <f>SUM(O23,R23,U23)</f>
        <v>0</v>
      </c>
      <c r="W23" s="189"/>
      <c r="X23" s="190"/>
      <c r="Y23" s="191">
        <f>SUM(W23:X23)</f>
        <v>0</v>
      </c>
      <c r="Z23" s="189"/>
      <c r="AA23" s="190"/>
      <c r="AB23" s="191">
        <f>SUM(Z23:AA23)</f>
        <v>0</v>
      </c>
      <c r="AC23" s="189"/>
      <c r="AD23" s="190"/>
      <c r="AE23" s="191">
        <f>SUM(AC23:AD23)</f>
        <v>0</v>
      </c>
      <c r="AF23" s="209">
        <f>SUM(Y23,AB23,AE23)</f>
        <v>0</v>
      </c>
      <c r="AG23" s="189"/>
      <c r="AH23" s="190"/>
      <c r="AI23" s="191">
        <f>SUM(AG23:AH23)</f>
        <v>0</v>
      </c>
      <c r="AJ23" s="189"/>
      <c r="AK23" s="190"/>
      <c r="AL23" s="191">
        <f>SUM(AJ23:AK23)</f>
        <v>0</v>
      </c>
      <c r="AM23" s="189"/>
      <c r="AN23" s="190"/>
      <c r="AO23" s="191">
        <f>SUM(AM23:AN23)</f>
        <v>0</v>
      </c>
      <c r="AP23" s="209">
        <f>SUM(AI23,AL23,AO23)</f>
        <v>0</v>
      </c>
      <c r="AQ23" s="142">
        <f>C23+F23+I23+M23+P23+S23+W23+Z23+AC23+AG23+AJ23+AM23</f>
        <v>0</v>
      </c>
      <c r="AR23" s="142">
        <f>D23+G23+J23+N23+Q23+T23+X23+AA23+AD23+AH23+AK23+AN23</f>
        <v>0</v>
      </c>
      <c r="AS23" s="142">
        <f>SUM(AQ23:AR23)</f>
        <v>0</v>
      </c>
    </row>
    <row r="24" spans="1:45" x14ac:dyDescent="0.25">
      <c r="A24" s="11" t="s">
        <v>362</v>
      </c>
      <c r="B24" s="150" t="s">
        <v>363</v>
      </c>
      <c r="C24" s="192"/>
      <c r="D24" s="193"/>
      <c r="E24" s="194">
        <f>SUM(C24:D24)</f>
        <v>0</v>
      </c>
      <c r="F24" s="192"/>
      <c r="G24" s="193"/>
      <c r="H24" s="194">
        <f>SUM(F24:G24)</f>
        <v>0</v>
      </c>
      <c r="I24" s="192"/>
      <c r="J24" s="193"/>
      <c r="K24" s="194">
        <f>SUM(I24:J24)</f>
        <v>0</v>
      </c>
      <c r="L24" s="210">
        <f t="shared" si="19"/>
        <v>0</v>
      </c>
      <c r="M24" s="192"/>
      <c r="N24" s="193"/>
      <c r="O24" s="194">
        <f>SUM(M24:N24)</f>
        <v>0</v>
      </c>
      <c r="P24" s="192"/>
      <c r="Q24" s="193"/>
      <c r="R24" s="194">
        <f>SUM(P24:Q24)</f>
        <v>0</v>
      </c>
      <c r="S24" s="192"/>
      <c r="T24" s="193"/>
      <c r="U24" s="194">
        <f>SUM(S24:T24)</f>
        <v>0</v>
      </c>
      <c r="V24" s="210">
        <f t="shared" si="20"/>
        <v>0</v>
      </c>
      <c r="W24" s="192"/>
      <c r="X24" s="193"/>
      <c r="Y24" s="194">
        <f>SUM(W24:X24)</f>
        <v>0</v>
      </c>
      <c r="Z24" s="192"/>
      <c r="AA24" s="193"/>
      <c r="AB24" s="194">
        <f>SUM(Z24:AA24)</f>
        <v>0</v>
      </c>
      <c r="AC24" s="192"/>
      <c r="AD24" s="193"/>
      <c r="AE24" s="194">
        <f>SUM(AC24:AD24)</f>
        <v>0</v>
      </c>
      <c r="AF24" s="210">
        <f t="shared" si="21"/>
        <v>0</v>
      </c>
      <c r="AG24" s="192"/>
      <c r="AH24" s="193"/>
      <c r="AI24" s="194">
        <f>SUM(AG24:AH24)</f>
        <v>0</v>
      </c>
      <c r="AJ24" s="192"/>
      <c r="AK24" s="193"/>
      <c r="AL24" s="194">
        <f>SUM(AJ24:AK24)</f>
        <v>0</v>
      </c>
      <c r="AM24" s="192"/>
      <c r="AN24" s="193"/>
      <c r="AO24" s="194">
        <f>SUM(AM24:AN24)</f>
        <v>0</v>
      </c>
      <c r="AP24" s="210">
        <f t="shared" si="22"/>
        <v>0</v>
      </c>
      <c r="AQ24" s="140">
        <f t="shared" si="18"/>
        <v>0</v>
      </c>
      <c r="AR24" s="140">
        <f t="shared" si="18"/>
        <v>0</v>
      </c>
      <c r="AS24" s="140">
        <f t="shared" si="17"/>
        <v>0</v>
      </c>
    </row>
    <row r="25" spans="1:45" x14ac:dyDescent="0.4">
      <c r="B25" s="143" t="s">
        <v>364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5"/>
    </row>
    <row r="26" spans="1:45" x14ac:dyDescent="0.25">
      <c r="A26" s="11" t="s">
        <v>365</v>
      </c>
      <c r="B26" s="151" t="s">
        <v>366</v>
      </c>
      <c r="C26" s="189"/>
      <c r="D26" s="190"/>
      <c r="E26" s="191">
        <f>SUM(C26:D26)</f>
        <v>0</v>
      </c>
      <c r="F26" s="189"/>
      <c r="G26" s="190"/>
      <c r="H26" s="191">
        <f>SUM(F26:G26)</f>
        <v>0</v>
      </c>
      <c r="I26" s="189">
        <v>582</v>
      </c>
      <c r="J26" s="190"/>
      <c r="K26" s="191">
        <f>SUM(I26:J26)</f>
        <v>582</v>
      </c>
      <c r="L26" s="209">
        <f t="shared" si="19"/>
        <v>582</v>
      </c>
      <c r="M26" s="189"/>
      <c r="N26" s="190"/>
      <c r="O26" s="191">
        <f>SUM(M26:N26)</f>
        <v>0</v>
      </c>
      <c r="P26" s="189"/>
      <c r="Q26" s="190"/>
      <c r="R26" s="191">
        <f>SUM(P26:Q26)</f>
        <v>0</v>
      </c>
      <c r="S26" s="189"/>
      <c r="T26" s="190"/>
      <c r="U26" s="191">
        <f>SUM(S26:T26)</f>
        <v>0</v>
      </c>
      <c r="V26" s="209">
        <f t="shared" si="20"/>
        <v>0</v>
      </c>
      <c r="W26" s="189"/>
      <c r="X26" s="190">
        <v>59</v>
      </c>
      <c r="Y26" s="191">
        <f>SUM(W26:X26)</f>
        <v>59</v>
      </c>
      <c r="Z26" s="189"/>
      <c r="AA26" s="190"/>
      <c r="AB26" s="191">
        <f>SUM(Z26:AA26)</f>
        <v>0</v>
      </c>
      <c r="AC26" s="189">
        <v>582</v>
      </c>
      <c r="AD26" s="190"/>
      <c r="AE26" s="191">
        <f>SUM(AC26:AD26)</f>
        <v>582</v>
      </c>
      <c r="AF26" s="209">
        <f t="shared" si="21"/>
        <v>641</v>
      </c>
      <c r="AG26" s="189"/>
      <c r="AH26" s="190"/>
      <c r="AI26" s="191">
        <f>SUM(AG26:AH26)</f>
        <v>0</v>
      </c>
      <c r="AJ26" s="189"/>
      <c r="AK26" s="190"/>
      <c r="AL26" s="191">
        <f>SUM(AJ26:AK26)</f>
        <v>0</v>
      </c>
      <c r="AM26" s="189"/>
      <c r="AN26" s="190"/>
      <c r="AO26" s="191">
        <f>SUM(AM26:AN26)</f>
        <v>0</v>
      </c>
      <c r="AP26" s="209">
        <f t="shared" si="22"/>
        <v>0</v>
      </c>
      <c r="AQ26" s="142">
        <f t="shared" ref="AQ26:AR36" si="23">C26+F26+I26+M26+P26+S26+W26+Z26+AC26+AG26+AJ26+AM26</f>
        <v>1164</v>
      </c>
      <c r="AR26" s="142">
        <f t="shared" si="23"/>
        <v>59</v>
      </c>
      <c r="AS26" s="142">
        <f t="shared" si="17"/>
        <v>1223</v>
      </c>
    </row>
    <row r="27" spans="1:45" x14ac:dyDescent="0.25">
      <c r="A27" s="11" t="s">
        <v>367</v>
      </c>
      <c r="B27" s="151" t="s">
        <v>368</v>
      </c>
      <c r="C27" s="189"/>
      <c r="D27" s="190"/>
      <c r="E27" s="191">
        <f>SUM(C27:D27)</f>
        <v>0</v>
      </c>
      <c r="F27" s="189"/>
      <c r="G27" s="190"/>
      <c r="H27" s="191">
        <f>SUM(F27:G27)</f>
        <v>0</v>
      </c>
      <c r="I27" s="189"/>
      <c r="J27" s="190"/>
      <c r="K27" s="191">
        <f>SUM(I27:J27)</f>
        <v>0</v>
      </c>
      <c r="L27" s="209">
        <f t="shared" si="19"/>
        <v>0</v>
      </c>
      <c r="M27" s="189"/>
      <c r="N27" s="190"/>
      <c r="O27" s="191">
        <f>SUM(M27:N27)</f>
        <v>0</v>
      </c>
      <c r="P27" s="189"/>
      <c r="Q27" s="190"/>
      <c r="R27" s="191">
        <f>SUM(P27:Q27)</f>
        <v>0</v>
      </c>
      <c r="S27" s="189"/>
      <c r="T27" s="190"/>
      <c r="U27" s="191">
        <f>SUM(S27:T27)</f>
        <v>0</v>
      </c>
      <c r="V27" s="209">
        <f t="shared" si="20"/>
        <v>0</v>
      </c>
      <c r="W27" s="189"/>
      <c r="X27" s="190"/>
      <c r="Y27" s="191">
        <f>SUM(W27:X27)</f>
        <v>0</v>
      </c>
      <c r="Z27" s="189"/>
      <c r="AA27" s="190"/>
      <c r="AB27" s="191">
        <f>SUM(Z27:AA27)</f>
        <v>0</v>
      </c>
      <c r="AC27" s="189"/>
      <c r="AD27" s="190"/>
      <c r="AE27" s="191">
        <f>SUM(AC27:AD27)</f>
        <v>0</v>
      </c>
      <c r="AF27" s="209">
        <f t="shared" si="21"/>
        <v>0</v>
      </c>
      <c r="AG27" s="189"/>
      <c r="AH27" s="190"/>
      <c r="AI27" s="191">
        <f>SUM(AG27:AH27)</f>
        <v>0</v>
      </c>
      <c r="AJ27" s="189"/>
      <c r="AK27" s="190"/>
      <c r="AL27" s="191">
        <f>SUM(AJ27:AK27)</f>
        <v>0</v>
      </c>
      <c r="AM27" s="189"/>
      <c r="AN27" s="190"/>
      <c r="AO27" s="191">
        <f>SUM(AM27:AN27)</f>
        <v>0</v>
      </c>
      <c r="AP27" s="209">
        <f t="shared" si="22"/>
        <v>0</v>
      </c>
      <c r="AQ27" s="142">
        <f t="shared" si="23"/>
        <v>0</v>
      </c>
      <c r="AR27" s="142">
        <f t="shared" si="23"/>
        <v>0</v>
      </c>
      <c r="AS27" s="142">
        <f t="shared" si="17"/>
        <v>0</v>
      </c>
    </row>
    <row r="28" spans="1:45" x14ac:dyDescent="0.25">
      <c r="A28" s="11" t="s">
        <v>369</v>
      </c>
      <c r="B28" s="151" t="s">
        <v>370</v>
      </c>
      <c r="C28" s="189"/>
      <c r="D28" s="190">
        <v>1</v>
      </c>
      <c r="E28" s="191">
        <f>SUM(C28:D28)</f>
        <v>1</v>
      </c>
      <c r="F28" s="189"/>
      <c r="G28" s="190">
        <v>150</v>
      </c>
      <c r="H28" s="191">
        <f>SUM(F28:G28)</f>
        <v>150</v>
      </c>
      <c r="I28" s="189">
        <v>150</v>
      </c>
      <c r="J28" s="190">
        <v>200</v>
      </c>
      <c r="K28" s="191">
        <f>SUM(I28:J28)</f>
        <v>350</v>
      </c>
      <c r="L28" s="209">
        <f t="shared" si="19"/>
        <v>501</v>
      </c>
      <c r="M28" s="189">
        <v>250</v>
      </c>
      <c r="N28" s="190">
        <v>50</v>
      </c>
      <c r="O28" s="191">
        <f>SUM(M28:N28)</f>
        <v>300</v>
      </c>
      <c r="P28" s="189">
        <v>210</v>
      </c>
      <c r="Q28" s="190"/>
      <c r="R28" s="191">
        <f>SUM(P28:Q28)</f>
        <v>210</v>
      </c>
      <c r="S28" s="189">
        <v>210</v>
      </c>
      <c r="T28" s="190"/>
      <c r="U28" s="191">
        <f>SUM(S28:T28)</f>
        <v>210</v>
      </c>
      <c r="V28" s="209">
        <f t="shared" si="20"/>
        <v>720</v>
      </c>
      <c r="W28" s="189">
        <v>210</v>
      </c>
      <c r="X28" s="190"/>
      <c r="Y28" s="191">
        <f>SUM(W28:X28)</f>
        <v>210</v>
      </c>
      <c r="Z28" s="189">
        <v>210</v>
      </c>
      <c r="AA28" s="190"/>
      <c r="AB28" s="191">
        <f>SUM(Z28:AA28)</f>
        <v>210</v>
      </c>
      <c r="AC28" s="189">
        <v>210</v>
      </c>
      <c r="AD28" s="190"/>
      <c r="AE28" s="191">
        <f>SUM(AC28:AD28)</f>
        <v>210</v>
      </c>
      <c r="AF28" s="209">
        <f t="shared" si="21"/>
        <v>630</v>
      </c>
      <c r="AG28" s="189">
        <v>210</v>
      </c>
      <c r="AH28" s="190"/>
      <c r="AI28" s="191">
        <f>SUM(AG28:AH28)</f>
        <v>210</v>
      </c>
      <c r="AJ28" s="189">
        <v>210</v>
      </c>
      <c r="AK28" s="190"/>
      <c r="AL28" s="191">
        <f>SUM(AJ28:AK28)</f>
        <v>210</v>
      </c>
      <c r="AM28" s="189">
        <v>210</v>
      </c>
      <c r="AN28" s="190"/>
      <c r="AO28" s="191">
        <f>SUM(AM28:AN28)</f>
        <v>210</v>
      </c>
      <c r="AP28" s="209">
        <f t="shared" si="22"/>
        <v>630</v>
      </c>
      <c r="AQ28" s="142">
        <f t="shared" si="23"/>
        <v>2080</v>
      </c>
      <c r="AR28" s="142">
        <f t="shared" si="23"/>
        <v>401</v>
      </c>
      <c r="AS28" s="142">
        <f t="shared" si="17"/>
        <v>2481</v>
      </c>
    </row>
    <row r="29" spans="1:45" x14ac:dyDescent="0.25">
      <c r="A29" s="11" t="s">
        <v>371</v>
      </c>
      <c r="B29" s="152" t="s">
        <v>372</v>
      </c>
      <c r="C29" s="192"/>
      <c r="D29" s="193"/>
      <c r="E29" s="194">
        <f>SUM(C29:D29)</f>
        <v>0</v>
      </c>
      <c r="F29" s="192"/>
      <c r="G29" s="193"/>
      <c r="H29" s="194">
        <f>SUM(F29:G29)</f>
        <v>0</v>
      </c>
      <c r="I29" s="192"/>
      <c r="J29" s="193"/>
      <c r="K29" s="194">
        <f>SUM(I29:J29)</f>
        <v>0</v>
      </c>
      <c r="L29" s="210">
        <f t="shared" si="19"/>
        <v>0</v>
      </c>
      <c r="M29" s="192"/>
      <c r="N29" s="193"/>
      <c r="O29" s="194">
        <f>SUM(M29:N29)</f>
        <v>0</v>
      </c>
      <c r="P29" s="192"/>
      <c r="Q29" s="193"/>
      <c r="R29" s="194">
        <f>SUM(P29:Q29)</f>
        <v>0</v>
      </c>
      <c r="S29" s="192"/>
      <c r="T29" s="193"/>
      <c r="U29" s="194">
        <f>SUM(S29:T29)</f>
        <v>0</v>
      </c>
      <c r="V29" s="210">
        <f t="shared" si="20"/>
        <v>0</v>
      </c>
      <c r="W29" s="192"/>
      <c r="X29" s="193"/>
      <c r="Y29" s="194">
        <f>SUM(W29:X29)</f>
        <v>0</v>
      </c>
      <c r="Z29" s="192"/>
      <c r="AA29" s="193"/>
      <c r="AB29" s="194">
        <f>SUM(Z29:AA29)</f>
        <v>0</v>
      </c>
      <c r="AC29" s="192"/>
      <c r="AD29" s="193"/>
      <c r="AE29" s="194">
        <f>SUM(AC29:AD29)</f>
        <v>0</v>
      </c>
      <c r="AF29" s="210">
        <f t="shared" si="21"/>
        <v>0</v>
      </c>
      <c r="AG29" s="192"/>
      <c r="AH29" s="193"/>
      <c r="AI29" s="194">
        <f>SUM(AG29:AH29)</f>
        <v>0</v>
      </c>
      <c r="AJ29" s="192"/>
      <c r="AK29" s="193"/>
      <c r="AL29" s="194">
        <f>SUM(AJ29:AK29)</f>
        <v>0</v>
      </c>
      <c r="AM29" s="192"/>
      <c r="AN29" s="193"/>
      <c r="AO29" s="194">
        <f>SUM(AM29:AN29)</f>
        <v>0</v>
      </c>
      <c r="AP29" s="210">
        <f t="shared" si="22"/>
        <v>0</v>
      </c>
      <c r="AQ29" s="140">
        <f t="shared" si="23"/>
        <v>0</v>
      </c>
      <c r="AR29" s="140">
        <f t="shared" si="23"/>
        <v>0</v>
      </c>
      <c r="AS29" s="140">
        <f t="shared" si="17"/>
        <v>0</v>
      </c>
    </row>
    <row r="30" spans="1:45" x14ac:dyDescent="0.4">
      <c r="B30" s="143" t="s">
        <v>373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5"/>
    </row>
    <row r="31" spans="1:45" x14ac:dyDescent="0.25">
      <c r="A31" s="11" t="s">
        <v>374</v>
      </c>
      <c r="B31" s="149" t="s">
        <v>375</v>
      </c>
      <c r="C31" s="189"/>
      <c r="D31" s="190"/>
      <c r="E31" s="191">
        <f t="shared" ref="E31:E36" si="24">SUM(C31:D31)</f>
        <v>0</v>
      </c>
      <c r="F31" s="189"/>
      <c r="G31" s="190"/>
      <c r="H31" s="191">
        <f t="shared" ref="H31:H36" si="25">SUM(F31:G31)</f>
        <v>0</v>
      </c>
      <c r="I31" s="189"/>
      <c r="J31" s="190"/>
      <c r="K31" s="191">
        <f t="shared" ref="K31:K36" si="26">SUM(I31:J31)</f>
        <v>0</v>
      </c>
      <c r="L31" s="209">
        <f t="shared" ref="L31:L36" si="27">SUM(E31,H31,K31)</f>
        <v>0</v>
      </c>
      <c r="M31" s="189"/>
      <c r="N31" s="190"/>
      <c r="O31" s="191">
        <f t="shared" ref="O31:O36" si="28">SUM(M31:N31)</f>
        <v>0</v>
      </c>
      <c r="P31" s="189"/>
      <c r="Q31" s="190"/>
      <c r="R31" s="191">
        <f t="shared" ref="R31:R36" si="29">SUM(P31:Q31)</f>
        <v>0</v>
      </c>
      <c r="S31" s="189"/>
      <c r="T31" s="190"/>
      <c r="U31" s="191">
        <f t="shared" ref="U31:U36" si="30">SUM(S31:T31)</f>
        <v>0</v>
      </c>
      <c r="V31" s="209">
        <f t="shared" ref="V31:V36" si="31">SUM(O31,R31,U31)</f>
        <v>0</v>
      </c>
      <c r="W31" s="189"/>
      <c r="X31" s="190"/>
      <c r="Y31" s="191">
        <f t="shared" ref="Y31:Y36" si="32">SUM(W31:X31)</f>
        <v>0</v>
      </c>
      <c r="Z31" s="189"/>
      <c r="AA31" s="190"/>
      <c r="AB31" s="191">
        <f t="shared" ref="AB31:AB36" si="33">SUM(Z31:AA31)</f>
        <v>0</v>
      </c>
      <c r="AC31" s="189"/>
      <c r="AD31" s="190"/>
      <c r="AE31" s="191">
        <f t="shared" ref="AE31:AE36" si="34">SUM(AC31:AD31)</f>
        <v>0</v>
      </c>
      <c r="AF31" s="209">
        <f t="shared" ref="AF31:AF36" si="35">SUM(Y31,AB31,AE31)</f>
        <v>0</v>
      </c>
      <c r="AG31" s="189"/>
      <c r="AH31" s="190"/>
      <c r="AI31" s="191">
        <f t="shared" ref="AI31:AI36" si="36">SUM(AG31:AH31)</f>
        <v>0</v>
      </c>
      <c r="AJ31" s="189"/>
      <c r="AK31" s="190"/>
      <c r="AL31" s="191">
        <f t="shared" ref="AL31:AL36" si="37">SUM(AJ31:AK31)</f>
        <v>0</v>
      </c>
      <c r="AM31" s="189"/>
      <c r="AN31" s="190"/>
      <c r="AO31" s="191">
        <f t="shared" ref="AO31:AO36" si="38">SUM(AM31:AN31)</f>
        <v>0</v>
      </c>
      <c r="AP31" s="209">
        <f t="shared" ref="AP31:AP36" si="39">SUM(AI31,AL31,AO31)</f>
        <v>0</v>
      </c>
      <c r="AQ31" s="142">
        <f t="shared" si="23"/>
        <v>0</v>
      </c>
      <c r="AR31" s="142">
        <f t="shared" si="23"/>
        <v>0</v>
      </c>
      <c r="AS31" s="142">
        <f t="shared" si="17"/>
        <v>0</v>
      </c>
    </row>
    <row r="32" spans="1:45" x14ac:dyDescent="0.25">
      <c r="A32" s="11" t="s">
        <v>376</v>
      </c>
      <c r="B32" s="151" t="s">
        <v>377</v>
      </c>
      <c r="C32" s="189"/>
      <c r="D32" s="190">
        <f>285+150</f>
        <v>435</v>
      </c>
      <c r="E32" s="191">
        <f t="shared" si="24"/>
        <v>435</v>
      </c>
      <c r="F32" s="189">
        <v>180</v>
      </c>
      <c r="G32" s="190">
        <v>80</v>
      </c>
      <c r="H32" s="191">
        <f t="shared" si="25"/>
        <v>260</v>
      </c>
      <c r="I32" s="189">
        <v>180</v>
      </c>
      <c r="J32" s="190">
        <v>80</v>
      </c>
      <c r="K32" s="191">
        <f t="shared" si="26"/>
        <v>260</v>
      </c>
      <c r="L32" s="209">
        <f t="shared" si="27"/>
        <v>955</v>
      </c>
      <c r="M32" s="189">
        <v>180</v>
      </c>
      <c r="N32" s="190">
        <v>80</v>
      </c>
      <c r="O32" s="191">
        <f t="shared" si="28"/>
        <v>260</v>
      </c>
      <c r="P32" s="189">
        <v>180</v>
      </c>
      <c r="Q32" s="190">
        <v>80</v>
      </c>
      <c r="R32" s="191">
        <f t="shared" si="29"/>
        <v>260</v>
      </c>
      <c r="S32" s="189">
        <v>180</v>
      </c>
      <c r="T32" s="190">
        <v>80</v>
      </c>
      <c r="U32" s="191">
        <f t="shared" si="30"/>
        <v>260</v>
      </c>
      <c r="V32" s="209">
        <f t="shared" si="31"/>
        <v>780</v>
      </c>
      <c r="W32" s="189">
        <v>180</v>
      </c>
      <c r="X32" s="190">
        <v>80</v>
      </c>
      <c r="Y32" s="191">
        <f t="shared" si="32"/>
        <v>260</v>
      </c>
      <c r="Z32" s="189">
        <v>180</v>
      </c>
      <c r="AA32" s="190">
        <v>80</v>
      </c>
      <c r="AB32" s="191">
        <f t="shared" si="33"/>
        <v>260</v>
      </c>
      <c r="AC32" s="189">
        <v>180</v>
      </c>
      <c r="AD32" s="190">
        <v>80</v>
      </c>
      <c r="AE32" s="191">
        <f t="shared" si="34"/>
        <v>260</v>
      </c>
      <c r="AF32" s="209">
        <f t="shared" si="35"/>
        <v>780</v>
      </c>
      <c r="AG32" s="189">
        <v>180</v>
      </c>
      <c r="AH32" s="190">
        <v>80</v>
      </c>
      <c r="AI32" s="191">
        <f t="shared" si="36"/>
        <v>260</v>
      </c>
      <c r="AJ32" s="189">
        <v>180</v>
      </c>
      <c r="AK32" s="190">
        <v>80</v>
      </c>
      <c r="AL32" s="191">
        <f t="shared" si="37"/>
        <v>260</v>
      </c>
      <c r="AM32" s="189">
        <v>180</v>
      </c>
      <c r="AN32" s="190">
        <v>80</v>
      </c>
      <c r="AO32" s="191">
        <f t="shared" si="38"/>
        <v>260</v>
      </c>
      <c r="AP32" s="209">
        <f t="shared" si="39"/>
        <v>780</v>
      </c>
      <c r="AQ32" s="142">
        <f t="shared" si="23"/>
        <v>1980</v>
      </c>
      <c r="AR32" s="142">
        <f t="shared" si="23"/>
        <v>1315</v>
      </c>
      <c r="AS32" s="142">
        <f t="shared" si="17"/>
        <v>3295</v>
      </c>
    </row>
    <row r="33" spans="1:45" x14ac:dyDescent="0.25">
      <c r="A33" s="11" t="s">
        <v>378</v>
      </c>
      <c r="B33" s="151" t="s">
        <v>379</v>
      </c>
      <c r="C33" s="189"/>
      <c r="D33" s="190"/>
      <c r="E33" s="191">
        <f>SUM(C33:D33)</f>
        <v>0</v>
      </c>
      <c r="F33" s="189"/>
      <c r="G33" s="190"/>
      <c r="H33" s="191">
        <f t="shared" si="25"/>
        <v>0</v>
      </c>
      <c r="I33" s="189"/>
      <c r="J33" s="190"/>
      <c r="K33" s="191">
        <f t="shared" si="26"/>
        <v>0</v>
      </c>
      <c r="L33" s="209">
        <f>SUM(E33,H33,K33)</f>
        <v>0</v>
      </c>
      <c r="M33" s="189"/>
      <c r="N33" s="190"/>
      <c r="O33" s="191">
        <f t="shared" si="28"/>
        <v>0</v>
      </c>
      <c r="P33" s="189"/>
      <c r="Q33" s="190"/>
      <c r="R33" s="191">
        <f t="shared" si="29"/>
        <v>0</v>
      </c>
      <c r="S33" s="189"/>
      <c r="T33" s="190"/>
      <c r="U33" s="191">
        <f t="shared" si="30"/>
        <v>0</v>
      </c>
      <c r="V33" s="209">
        <f>SUM(O33,R33,U33)</f>
        <v>0</v>
      </c>
      <c r="W33" s="189"/>
      <c r="X33" s="190"/>
      <c r="Y33" s="191">
        <f t="shared" si="32"/>
        <v>0</v>
      </c>
      <c r="Z33" s="189"/>
      <c r="AA33" s="190"/>
      <c r="AB33" s="191">
        <f t="shared" si="33"/>
        <v>0</v>
      </c>
      <c r="AC33" s="189"/>
      <c r="AD33" s="190"/>
      <c r="AE33" s="191">
        <f t="shared" si="34"/>
        <v>0</v>
      </c>
      <c r="AF33" s="209">
        <f>SUM(Y33,AB33,AE33)</f>
        <v>0</v>
      </c>
      <c r="AG33" s="189"/>
      <c r="AH33" s="190"/>
      <c r="AI33" s="191">
        <f t="shared" si="36"/>
        <v>0</v>
      </c>
      <c r="AJ33" s="189"/>
      <c r="AK33" s="190"/>
      <c r="AL33" s="191">
        <f t="shared" si="37"/>
        <v>0</v>
      </c>
      <c r="AM33" s="189"/>
      <c r="AN33" s="190"/>
      <c r="AO33" s="191">
        <f t="shared" si="38"/>
        <v>0</v>
      </c>
      <c r="AP33" s="209">
        <f>SUM(AI33,AL33,AO33)</f>
        <v>0</v>
      </c>
      <c r="AQ33" s="142">
        <f>C33+F33+I33+M33+P33+S33+W33+Z33+AC33+AG33+AJ33+AM33</f>
        <v>0</v>
      </c>
      <c r="AR33" s="142">
        <f>D33+G33+J33+N33+Q33+T33+X33+AA33+AD33+AH33+AK33+AN33</f>
        <v>0</v>
      </c>
      <c r="AS33" s="142">
        <f>SUM(AQ33:AR33)</f>
        <v>0</v>
      </c>
    </row>
    <row r="34" spans="1:45" x14ac:dyDescent="0.25">
      <c r="A34" s="11" t="s">
        <v>380</v>
      </c>
      <c r="B34" s="151" t="s">
        <v>381</v>
      </c>
      <c r="C34" s="189"/>
      <c r="D34" s="190"/>
      <c r="E34" s="191">
        <f>SUM(C34:D34)</f>
        <v>0</v>
      </c>
      <c r="F34" s="189"/>
      <c r="G34" s="190"/>
      <c r="H34" s="191">
        <f t="shared" si="25"/>
        <v>0</v>
      </c>
      <c r="I34" s="189"/>
      <c r="J34" s="190"/>
      <c r="K34" s="191">
        <f t="shared" si="26"/>
        <v>0</v>
      </c>
      <c r="L34" s="209">
        <f>SUM(E34,H34,K34)</f>
        <v>0</v>
      </c>
      <c r="M34" s="189"/>
      <c r="N34" s="190"/>
      <c r="O34" s="191">
        <f t="shared" si="28"/>
        <v>0</v>
      </c>
      <c r="P34" s="189"/>
      <c r="Q34" s="190"/>
      <c r="R34" s="191">
        <f t="shared" si="29"/>
        <v>0</v>
      </c>
      <c r="S34" s="189"/>
      <c r="T34" s="190"/>
      <c r="U34" s="191">
        <f t="shared" si="30"/>
        <v>0</v>
      </c>
      <c r="V34" s="209">
        <f>SUM(O34,R34,U34)</f>
        <v>0</v>
      </c>
      <c r="W34" s="189"/>
      <c r="X34" s="190"/>
      <c r="Y34" s="191">
        <f t="shared" si="32"/>
        <v>0</v>
      </c>
      <c r="Z34" s="189"/>
      <c r="AA34" s="190"/>
      <c r="AB34" s="191">
        <f t="shared" si="33"/>
        <v>0</v>
      </c>
      <c r="AC34" s="189"/>
      <c r="AD34" s="190"/>
      <c r="AE34" s="191">
        <f t="shared" si="34"/>
        <v>0</v>
      </c>
      <c r="AF34" s="209">
        <f>SUM(Y34,AB34,AE34)</f>
        <v>0</v>
      </c>
      <c r="AG34" s="189"/>
      <c r="AH34" s="190"/>
      <c r="AI34" s="191">
        <f t="shared" si="36"/>
        <v>0</v>
      </c>
      <c r="AJ34" s="189"/>
      <c r="AK34" s="190"/>
      <c r="AL34" s="191">
        <f t="shared" si="37"/>
        <v>0</v>
      </c>
      <c r="AM34" s="189"/>
      <c r="AN34" s="190"/>
      <c r="AO34" s="191">
        <f t="shared" si="38"/>
        <v>0</v>
      </c>
      <c r="AP34" s="209">
        <f>SUM(AI34,AL34,AO34)</f>
        <v>0</v>
      </c>
      <c r="AQ34" s="142">
        <f>C34+F34+I34+M34+P34+S34+W34+Z34+AC34+AG34+AJ34+AM34</f>
        <v>0</v>
      </c>
      <c r="AR34" s="142">
        <f>D34+G34+J34+N34+Q34+T34+X34+AA34+AD34+AH34+AK34+AN34</f>
        <v>0</v>
      </c>
      <c r="AS34" s="142">
        <f>SUM(AQ34:AR34)</f>
        <v>0</v>
      </c>
    </row>
    <row r="35" spans="1:45" x14ac:dyDescent="0.25">
      <c r="A35" s="11" t="s">
        <v>382</v>
      </c>
      <c r="B35" s="151" t="s">
        <v>383</v>
      </c>
      <c r="C35" s="189"/>
      <c r="D35" s="190"/>
      <c r="E35" s="191">
        <f t="shared" si="24"/>
        <v>0</v>
      </c>
      <c r="F35" s="189"/>
      <c r="G35" s="190"/>
      <c r="H35" s="191">
        <f t="shared" si="25"/>
        <v>0</v>
      </c>
      <c r="I35" s="189"/>
      <c r="J35" s="190"/>
      <c r="K35" s="191">
        <f t="shared" si="26"/>
        <v>0</v>
      </c>
      <c r="L35" s="209">
        <f t="shared" si="27"/>
        <v>0</v>
      </c>
      <c r="M35" s="189"/>
      <c r="N35" s="190"/>
      <c r="O35" s="191">
        <f t="shared" si="28"/>
        <v>0</v>
      </c>
      <c r="P35" s="189"/>
      <c r="Q35" s="190"/>
      <c r="R35" s="191">
        <f t="shared" si="29"/>
        <v>0</v>
      </c>
      <c r="S35" s="189"/>
      <c r="T35" s="190"/>
      <c r="U35" s="191">
        <f t="shared" si="30"/>
        <v>0</v>
      </c>
      <c r="V35" s="209">
        <f t="shared" si="31"/>
        <v>0</v>
      </c>
      <c r="W35" s="189"/>
      <c r="X35" s="190"/>
      <c r="Y35" s="191">
        <f t="shared" si="32"/>
        <v>0</v>
      </c>
      <c r="Z35" s="189"/>
      <c r="AA35" s="190"/>
      <c r="AB35" s="191">
        <f t="shared" si="33"/>
        <v>0</v>
      </c>
      <c r="AC35" s="189"/>
      <c r="AD35" s="190"/>
      <c r="AE35" s="191">
        <f t="shared" si="34"/>
        <v>0</v>
      </c>
      <c r="AF35" s="209">
        <f t="shared" si="35"/>
        <v>0</v>
      </c>
      <c r="AG35" s="189"/>
      <c r="AH35" s="190"/>
      <c r="AI35" s="191">
        <f t="shared" si="36"/>
        <v>0</v>
      </c>
      <c r="AJ35" s="189"/>
      <c r="AK35" s="190"/>
      <c r="AL35" s="191">
        <f t="shared" si="37"/>
        <v>0</v>
      </c>
      <c r="AM35" s="189"/>
      <c r="AN35" s="190"/>
      <c r="AO35" s="191">
        <f t="shared" si="38"/>
        <v>0</v>
      </c>
      <c r="AP35" s="209">
        <f t="shared" si="39"/>
        <v>0</v>
      </c>
      <c r="AQ35" s="142">
        <f t="shared" si="23"/>
        <v>0</v>
      </c>
      <c r="AR35" s="142">
        <f t="shared" si="23"/>
        <v>0</v>
      </c>
      <c r="AS35" s="142">
        <f t="shared" si="17"/>
        <v>0</v>
      </c>
    </row>
    <row r="36" spans="1:45" x14ac:dyDescent="0.25">
      <c r="A36" s="11" t="s">
        <v>384</v>
      </c>
      <c r="B36" s="153" t="s">
        <v>385</v>
      </c>
      <c r="C36" s="192"/>
      <c r="D36" s="193"/>
      <c r="E36" s="194">
        <f t="shared" si="24"/>
        <v>0</v>
      </c>
      <c r="F36" s="192"/>
      <c r="G36" s="193"/>
      <c r="H36" s="194">
        <f t="shared" si="25"/>
        <v>0</v>
      </c>
      <c r="I36" s="192"/>
      <c r="J36" s="193"/>
      <c r="K36" s="194">
        <f t="shared" si="26"/>
        <v>0</v>
      </c>
      <c r="L36" s="210">
        <f t="shared" si="27"/>
        <v>0</v>
      </c>
      <c r="M36" s="192"/>
      <c r="N36" s="193"/>
      <c r="O36" s="194">
        <f t="shared" si="28"/>
        <v>0</v>
      </c>
      <c r="P36" s="192"/>
      <c r="Q36" s="193"/>
      <c r="R36" s="194">
        <f t="shared" si="29"/>
        <v>0</v>
      </c>
      <c r="S36" s="192"/>
      <c r="T36" s="193"/>
      <c r="U36" s="194">
        <f t="shared" si="30"/>
        <v>0</v>
      </c>
      <c r="V36" s="210">
        <f t="shared" si="31"/>
        <v>0</v>
      </c>
      <c r="W36" s="192"/>
      <c r="X36" s="193"/>
      <c r="Y36" s="194">
        <f t="shared" si="32"/>
        <v>0</v>
      </c>
      <c r="Z36" s="192"/>
      <c r="AA36" s="193"/>
      <c r="AB36" s="194">
        <f t="shared" si="33"/>
        <v>0</v>
      </c>
      <c r="AC36" s="192"/>
      <c r="AD36" s="193"/>
      <c r="AE36" s="194">
        <f t="shared" si="34"/>
        <v>0</v>
      </c>
      <c r="AF36" s="210">
        <f t="shared" si="35"/>
        <v>0</v>
      </c>
      <c r="AG36" s="192"/>
      <c r="AH36" s="193"/>
      <c r="AI36" s="194">
        <f t="shared" si="36"/>
        <v>0</v>
      </c>
      <c r="AJ36" s="192"/>
      <c r="AK36" s="193"/>
      <c r="AL36" s="194">
        <f t="shared" si="37"/>
        <v>0</v>
      </c>
      <c r="AM36" s="192"/>
      <c r="AN36" s="193"/>
      <c r="AO36" s="194">
        <f t="shared" si="38"/>
        <v>0</v>
      </c>
      <c r="AP36" s="210">
        <f t="shared" si="39"/>
        <v>0</v>
      </c>
      <c r="AQ36" s="140">
        <f t="shared" si="23"/>
        <v>0</v>
      </c>
      <c r="AR36" s="140">
        <f t="shared" si="23"/>
        <v>0</v>
      </c>
      <c r="AS36" s="140">
        <f t="shared" si="17"/>
        <v>0</v>
      </c>
    </row>
    <row r="37" spans="1:45" x14ac:dyDescent="0.4">
      <c r="B37" s="143" t="s">
        <v>386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5"/>
    </row>
    <row r="38" spans="1:45" x14ac:dyDescent="0.25">
      <c r="A38" s="11" t="s">
        <v>387</v>
      </c>
      <c r="B38" s="151" t="s">
        <v>388</v>
      </c>
      <c r="C38" s="189">
        <f>901+475</f>
        <v>1376</v>
      </c>
      <c r="D38" s="190">
        <f>347+500</f>
        <v>847</v>
      </c>
      <c r="E38" s="191">
        <f>SUM(C38:D38)</f>
        <v>2223</v>
      </c>
      <c r="F38" s="189">
        <v>2500</v>
      </c>
      <c r="G38" s="190">
        <v>300</v>
      </c>
      <c r="H38" s="191">
        <f>SUM(F38:G38)</f>
        <v>2800</v>
      </c>
      <c r="I38" s="189">
        <v>2200</v>
      </c>
      <c r="J38" s="190">
        <v>300</v>
      </c>
      <c r="K38" s="191">
        <f>SUM(I38:J38)</f>
        <v>2500</v>
      </c>
      <c r="L38" s="209">
        <f>SUM(E38,H38,K38)</f>
        <v>7523</v>
      </c>
      <c r="M38" s="189">
        <v>2200</v>
      </c>
      <c r="N38" s="190">
        <v>300</v>
      </c>
      <c r="O38" s="191">
        <f>SUM(M38:N38)</f>
        <v>2500</v>
      </c>
      <c r="P38" s="189">
        <v>2200</v>
      </c>
      <c r="Q38" s="190">
        <v>300</v>
      </c>
      <c r="R38" s="191">
        <f>SUM(P38:Q38)</f>
        <v>2500</v>
      </c>
      <c r="S38" s="189">
        <v>2200</v>
      </c>
      <c r="T38" s="190">
        <v>300</v>
      </c>
      <c r="U38" s="191">
        <f>SUM(S38:T38)</f>
        <v>2500</v>
      </c>
      <c r="V38" s="209">
        <f>SUM(O38,R38,U38)</f>
        <v>7500</v>
      </c>
      <c r="W38" s="189">
        <v>2500</v>
      </c>
      <c r="X38" s="190"/>
      <c r="Y38" s="191">
        <f>SUM(W38:X38)</f>
        <v>2500</v>
      </c>
      <c r="Z38" s="189">
        <v>2500</v>
      </c>
      <c r="AA38" s="190"/>
      <c r="AB38" s="191">
        <f>SUM(Z38:AA38)</f>
        <v>2500</v>
      </c>
      <c r="AC38" s="189">
        <v>2500</v>
      </c>
      <c r="AD38" s="190"/>
      <c r="AE38" s="191">
        <f>SUM(AC38:AD38)</f>
        <v>2500</v>
      </c>
      <c r="AF38" s="209">
        <f>SUM(Y38,AB38,AE38)</f>
        <v>7500</v>
      </c>
      <c r="AG38" s="189">
        <v>2500</v>
      </c>
      <c r="AH38" s="190"/>
      <c r="AI38" s="191">
        <f>SUM(AG38:AH38)</f>
        <v>2500</v>
      </c>
      <c r="AJ38" s="189">
        <v>2500</v>
      </c>
      <c r="AK38" s="190"/>
      <c r="AL38" s="191">
        <f>SUM(AJ38:AK38)</f>
        <v>2500</v>
      </c>
      <c r="AM38" s="189">
        <v>2500</v>
      </c>
      <c r="AN38" s="190"/>
      <c r="AO38" s="191">
        <f>SUM(AM38:AN38)</f>
        <v>2500</v>
      </c>
      <c r="AP38" s="209">
        <f>SUM(AI38,AL38,AO38)</f>
        <v>7500</v>
      </c>
      <c r="AQ38" s="142">
        <f>C38+F38+I38+M38+P38+S38+W38+Z38+AC38+AG38+AJ38+AM38</f>
        <v>27676</v>
      </c>
      <c r="AR38" s="142">
        <f>D38+G38+J38+N38+Q38+T38+X38+AA38+AD38+AH38+AK38+AN38</f>
        <v>2347</v>
      </c>
      <c r="AS38" s="142">
        <f t="shared" si="17"/>
        <v>30023</v>
      </c>
    </row>
    <row r="39" spans="1:45" x14ac:dyDescent="0.25">
      <c r="A39" s="11" t="s">
        <v>389</v>
      </c>
      <c r="B39" s="154" t="s">
        <v>390</v>
      </c>
      <c r="C39" s="192"/>
      <c r="D39" s="193"/>
      <c r="E39" s="194">
        <f>SUM(C39:D39)</f>
        <v>0</v>
      </c>
      <c r="F39" s="192"/>
      <c r="G39" s="193"/>
      <c r="H39" s="194">
        <f>SUM(F39:G39)</f>
        <v>0</v>
      </c>
      <c r="I39" s="192"/>
      <c r="J39" s="193"/>
      <c r="K39" s="194">
        <f>SUM(I39:J39)</f>
        <v>0</v>
      </c>
      <c r="L39" s="211">
        <f>SUM(E39,H39,K39)</f>
        <v>0</v>
      </c>
      <c r="M39" s="192"/>
      <c r="N39" s="193"/>
      <c r="O39" s="194">
        <f>SUM(M39:N39)</f>
        <v>0</v>
      </c>
      <c r="P39" s="192"/>
      <c r="Q39" s="193"/>
      <c r="R39" s="194">
        <f>SUM(P39:Q39)</f>
        <v>0</v>
      </c>
      <c r="S39" s="192"/>
      <c r="T39" s="193"/>
      <c r="U39" s="194">
        <f>SUM(S39:T39)</f>
        <v>0</v>
      </c>
      <c r="V39" s="211">
        <f>SUM(O39,R39,U39)</f>
        <v>0</v>
      </c>
      <c r="W39" s="192"/>
      <c r="X39" s="193"/>
      <c r="Y39" s="194">
        <f>SUM(W39:X39)</f>
        <v>0</v>
      </c>
      <c r="Z39" s="192"/>
      <c r="AA39" s="193"/>
      <c r="AB39" s="194">
        <f>SUM(Z39:AA39)</f>
        <v>0</v>
      </c>
      <c r="AC39" s="192"/>
      <c r="AD39" s="193"/>
      <c r="AE39" s="194">
        <f>SUM(AC39:AD39)</f>
        <v>0</v>
      </c>
      <c r="AF39" s="211">
        <f>SUM(Y39,AB39,AE39)</f>
        <v>0</v>
      </c>
      <c r="AG39" s="192"/>
      <c r="AH39" s="193"/>
      <c r="AI39" s="194">
        <f>SUM(AG39:AH39)</f>
        <v>0</v>
      </c>
      <c r="AJ39" s="192"/>
      <c r="AK39" s="193"/>
      <c r="AL39" s="194">
        <f>SUM(AJ39:AK39)</f>
        <v>0</v>
      </c>
      <c r="AM39" s="192"/>
      <c r="AN39" s="193"/>
      <c r="AO39" s="194">
        <f>SUM(AM39:AN39)</f>
        <v>0</v>
      </c>
      <c r="AP39" s="211">
        <f>SUM(AI39,AL39,AO39)</f>
        <v>0</v>
      </c>
      <c r="AQ39" s="155">
        <f>C39+F39+I39+M39+P39+S39+W39+Z39+AC39+AG39+AJ39+AM39</f>
        <v>0</v>
      </c>
      <c r="AR39" s="155">
        <f>D39+G39+J39+N39+Q39+T39+X39+AA39+AD39+AH39+AK39+AN39</f>
        <v>0</v>
      </c>
      <c r="AS39" s="155">
        <f t="shared" si="17"/>
        <v>0</v>
      </c>
    </row>
    <row r="40" spans="1:45" ht="51" customHeight="1" x14ac:dyDescent="0.25">
      <c r="B40" s="167" t="s">
        <v>391</v>
      </c>
      <c r="C40" s="167"/>
      <c r="D40" s="168"/>
      <c r="E40" s="168"/>
      <c r="F40" s="167"/>
      <c r="G40" s="168"/>
      <c r="H40" s="168"/>
      <c r="I40" s="167"/>
      <c r="J40" s="168"/>
      <c r="K40" s="168"/>
      <c r="L40" s="168"/>
      <c r="M40" s="167"/>
      <c r="N40" s="168"/>
      <c r="O40" s="168"/>
      <c r="P40" s="167"/>
      <c r="Q40" s="168"/>
      <c r="R40" s="168"/>
      <c r="S40" s="167"/>
      <c r="T40" s="168"/>
      <c r="U40" s="168"/>
      <c r="V40" s="168"/>
      <c r="W40" s="167"/>
      <c r="X40" s="168"/>
      <c r="Y40" s="168"/>
      <c r="Z40" s="167"/>
      <c r="AA40" s="168"/>
      <c r="AB40" s="168"/>
      <c r="AC40" s="167"/>
      <c r="AD40" s="168"/>
      <c r="AE40" s="168"/>
      <c r="AF40" s="168"/>
      <c r="AG40" s="167"/>
      <c r="AH40" s="168"/>
      <c r="AI40" s="168"/>
      <c r="AJ40" s="167"/>
      <c r="AK40" s="168"/>
      <c r="AL40" s="168"/>
      <c r="AM40" s="167"/>
      <c r="AN40" s="168"/>
      <c r="AO40" s="168"/>
      <c r="AP40" s="168"/>
      <c r="AQ40" s="168"/>
      <c r="AR40" s="168"/>
      <c r="AS40" s="169"/>
    </row>
    <row r="41" spans="1:45" x14ac:dyDescent="0.25">
      <c r="A41" s="11" t="s">
        <v>392</v>
      </c>
      <c r="B41" s="156" t="s">
        <v>393</v>
      </c>
      <c r="C41" s="198"/>
      <c r="D41" s="199"/>
      <c r="E41" s="200">
        <f>SUM(C41:D41)</f>
        <v>0</v>
      </c>
      <c r="F41" s="198"/>
      <c r="G41" s="199">
        <f>72+65</f>
        <v>137</v>
      </c>
      <c r="H41" s="200">
        <f>SUM(F41:G41)</f>
        <v>137</v>
      </c>
      <c r="I41" s="192"/>
      <c r="J41" s="193">
        <v>536</v>
      </c>
      <c r="K41" s="200">
        <f>SUM(I41:J41)</f>
        <v>536</v>
      </c>
      <c r="L41" s="212">
        <f>SUM(E41,H41,K41)</f>
        <v>673</v>
      </c>
      <c r="M41" s="192"/>
      <c r="N41" s="193">
        <v>536</v>
      </c>
      <c r="O41" s="200">
        <f>SUM(M41:N41)</f>
        <v>536</v>
      </c>
      <c r="P41" s="192"/>
      <c r="Q41" s="193">
        <v>536</v>
      </c>
      <c r="R41" s="200">
        <f>SUM(P41:Q41)</f>
        <v>536</v>
      </c>
      <c r="S41" s="198"/>
      <c r="T41" s="199">
        <f>486+27</f>
        <v>513</v>
      </c>
      <c r="U41" s="200">
        <f>SUM(S41:T41)</f>
        <v>513</v>
      </c>
      <c r="V41" s="212">
        <f>SUM(O41,R41,U41)</f>
        <v>1585</v>
      </c>
      <c r="W41" s="198"/>
      <c r="X41" s="199">
        <v>486</v>
      </c>
      <c r="Y41" s="200">
        <f>SUM(W41:X41)</f>
        <v>486</v>
      </c>
      <c r="Z41" s="198"/>
      <c r="AA41" s="199">
        <v>386</v>
      </c>
      <c r="AB41" s="200">
        <f>SUM(Z41:AA41)</f>
        <v>386</v>
      </c>
      <c r="AC41" s="198"/>
      <c r="AD41" s="199">
        <v>386</v>
      </c>
      <c r="AE41" s="200">
        <f>SUM(AC41:AD41)</f>
        <v>386</v>
      </c>
      <c r="AF41" s="212">
        <f>SUM(Y41,AB41,AE41)</f>
        <v>1258</v>
      </c>
      <c r="AG41" s="198"/>
      <c r="AH41" s="199">
        <v>386</v>
      </c>
      <c r="AI41" s="200">
        <f>SUM(AG41:AH41)</f>
        <v>386</v>
      </c>
      <c r="AJ41" s="198"/>
      <c r="AK41" s="199">
        <v>386</v>
      </c>
      <c r="AL41" s="200">
        <f>SUM(AJ41:AK41)</f>
        <v>386</v>
      </c>
      <c r="AM41" s="198"/>
      <c r="AN41" s="199">
        <v>386</v>
      </c>
      <c r="AO41" s="200">
        <f>SUM(AM41:AN41)</f>
        <v>386</v>
      </c>
      <c r="AP41" s="212">
        <f>SUM(AI41,AL41,AO41)</f>
        <v>1158</v>
      </c>
      <c r="AQ41" s="138">
        <f t="shared" ref="AQ41:AR43" si="40">C41+F41+I41+M41+P41+S41+W41+Z41+AC41+AG41+AJ41+AM41</f>
        <v>0</v>
      </c>
      <c r="AR41" s="138">
        <f t="shared" si="40"/>
        <v>4674</v>
      </c>
      <c r="AS41" s="138">
        <f t="shared" si="17"/>
        <v>4674</v>
      </c>
    </row>
    <row r="42" spans="1:45" x14ac:dyDescent="0.25">
      <c r="A42" s="11" t="s">
        <v>394</v>
      </c>
      <c r="B42" s="157" t="s">
        <v>395</v>
      </c>
      <c r="C42" s="189"/>
      <c r="D42" s="190"/>
      <c r="E42" s="191">
        <f>SUM(C42:D42)</f>
        <v>0</v>
      </c>
      <c r="F42" s="189"/>
      <c r="G42" s="190"/>
      <c r="H42" s="191">
        <f>SUM(F42:G42)</f>
        <v>0</v>
      </c>
      <c r="I42" s="189"/>
      <c r="J42" s="190"/>
      <c r="K42" s="191">
        <f>SUM(I42:J42)</f>
        <v>0</v>
      </c>
      <c r="L42" s="209">
        <f>SUM(E42,H42,K42)</f>
        <v>0</v>
      </c>
      <c r="M42" s="189"/>
      <c r="N42" s="190"/>
      <c r="O42" s="191">
        <f>SUM(M42:N42)</f>
        <v>0</v>
      </c>
      <c r="P42" s="189"/>
      <c r="Q42" s="190"/>
      <c r="R42" s="191">
        <f>SUM(P42:Q42)</f>
        <v>0</v>
      </c>
      <c r="S42" s="189"/>
      <c r="T42" s="190"/>
      <c r="U42" s="191">
        <f>SUM(S42:T42)</f>
        <v>0</v>
      </c>
      <c r="V42" s="209">
        <f>SUM(O42,R42,U42)</f>
        <v>0</v>
      </c>
      <c r="W42" s="189"/>
      <c r="X42" s="190"/>
      <c r="Y42" s="191">
        <f>SUM(W42:X42)</f>
        <v>0</v>
      </c>
      <c r="Z42" s="189"/>
      <c r="AA42" s="190"/>
      <c r="AB42" s="191">
        <f>SUM(Z42:AA42)</f>
        <v>0</v>
      </c>
      <c r="AC42" s="189"/>
      <c r="AD42" s="190"/>
      <c r="AE42" s="191">
        <f>SUM(AC42:AD42)</f>
        <v>0</v>
      </c>
      <c r="AF42" s="209">
        <f>SUM(Y42,AB42,AE42)</f>
        <v>0</v>
      </c>
      <c r="AG42" s="189"/>
      <c r="AH42" s="190"/>
      <c r="AI42" s="191">
        <f>SUM(AG42:AH42)</f>
        <v>0</v>
      </c>
      <c r="AJ42" s="189"/>
      <c r="AK42" s="190"/>
      <c r="AL42" s="191">
        <f>SUM(AJ42:AK42)</f>
        <v>0</v>
      </c>
      <c r="AM42" s="189"/>
      <c r="AN42" s="190"/>
      <c r="AO42" s="191">
        <f>SUM(AM42:AN42)</f>
        <v>0</v>
      </c>
      <c r="AP42" s="209">
        <f>SUM(AI42,AL42,AO42)</f>
        <v>0</v>
      </c>
      <c r="AQ42" s="142">
        <f t="shared" si="40"/>
        <v>0</v>
      </c>
      <c r="AR42" s="142">
        <f t="shared" si="40"/>
        <v>0</v>
      </c>
      <c r="AS42" s="142">
        <f t="shared" si="17"/>
        <v>0</v>
      </c>
    </row>
    <row r="43" spans="1:45" x14ac:dyDescent="0.25">
      <c r="A43" s="11" t="s">
        <v>396</v>
      </c>
      <c r="B43" s="157" t="s">
        <v>397</v>
      </c>
      <c r="C43" s="189"/>
      <c r="D43" s="190"/>
      <c r="E43" s="191">
        <f>SUM(C43:D43)</f>
        <v>0</v>
      </c>
      <c r="F43" s="189"/>
      <c r="G43" s="190"/>
      <c r="H43" s="191">
        <f>SUM(F43:G43)</f>
        <v>0</v>
      </c>
      <c r="I43" s="189"/>
      <c r="J43" s="190"/>
      <c r="K43" s="191">
        <f>SUM(I43:J43)</f>
        <v>0</v>
      </c>
      <c r="L43" s="209">
        <f>SUM(E43,H43,K43)</f>
        <v>0</v>
      </c>
      <c r="M43" s="189"/>
      <c r="N43" s="190"/>
      <c r="O43" s="191">
        <f>SUM(M43:N43)</f>
        <v>0</v>
      </c>
      <c r="P43" s="189"/>
      <c r="Q43" s="190"/>
      <c r="R43" s="191">
        <f>SUM(P43:Q43)</f>
        <v>0</v>
      </c>
      <c r="S43" s="189"/>
      <c r="T43" s="190"/>
      <c r="U43" s="191">
        <f>SUM(S43:T43)</f>
        <v>0</v>
      </c>
      <c r="V43" s="209">
        <f>SUM(O43,R43,U43)</f>
        <v>0</v>
      </c>
      <c r="W43" s="189"/>
      <c r="X43" s="190"/>
      <c r="Y43" s="191">
        <f>SUM(W43:X43)</f>
        <v>0</v>
      </c>
      <c r="Z43" s="189"/>
      <c r="AA43" s="190"/>
      <c r="AB43" s="191">
        <f>SUM(Z43:AA43)</f>
        <v>0</v>
      </c>
      <c r="AC43" s="189"/>
      <c r="AD43" s="190"/>
      <c r="AE43" s="191">
        <f>SUM(AC43:AD43)</f>
        <v>0</v>
      </c>
      <c r="AF43" s="209">
        <f>SUM(Y43,AB43,AE43)</f>
        <v>0</v>
      </c>
      <c r="AG43" s="189"/>
      <c r="AH43" s="190"/>
      <c r="AI43" s="191">
        <f>SUM(AG43:AH43)</f>
        <v>0</v>
      </c>
      <c r="AJ43" s="189"/>
      <c r="AK43" s="190"/>
      <c r="AL43" s="191">
        <f>SUM(AJ43:AK43)</f>
        <v>0</v>
      </c>
      <c r="AM43" s="189"/>
      <c r="AN43" s="190"/>
      <c r="AO43" s="191">
        <f>SUM(AM43:AN43)</f>
        <v>0</v>
      </c>
      <c r="AP43" s="209">
        <f>SUM(AI43,AL43,AO43)</f>
        <v>0</v>
      </c>
      <c r="AQ43" s="142">
        <f t="shared" si="40"/>
        <v>0</v>
      </c>
      <c r="AR43" s="142">
        <f t="shared" si="40"/>
        <v>0</v>
      </c>
      <c r="AS43" s="142">
        <f t="shared" si="17"/>
        <v>0</v>
      </c>
    </row>
    <row r="44" spans="1:45" x14ac:dyDescent="0.25">
      <c r="A44" s="11" t="s">
        <v>398</v>
      </c>
      <c r="B44" s="146" t="s">
        <v>399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8"/>
    </row>
    <row r="45" spans="1:45" x14ac:dyDescent="0.25">
      <c r="A45" s="11" t="s">
        <v>400</v>
      </c>
      <c r="B45" s="158" t="s">
        <v>401</v>
      </c>
      <c r="C45" s="189"/>
      <c r="D45" s="190"/>
      <c r="E45" s="191">
        <f>SUM(C45:D45)</f>
        <v>0</v>
      </c>
      <c r="F45" s="189"/>
      <c r="G45" s="190"/>
      <c r="H45" s="191">
        <f>SUM(F45:G45)</f>
        <v>0</v>
      </c>
      <c r="I45" s="189"/>
      <c r="J45" s="190"/>
      <c r="K45" s="191">
        <f>SUM(I45:J45)</f>
        <v>0</v>
      </c>
      <c r="L45" s="209">
        <f>SUM(E45,H45,K45)</f>
        <v>0</v>
      </c>
      <c r="M45" s="189"/>
      <c r="N45" s="190"/>
      <c r="O45" s="191">
        <f>SUM(M45:N45)</f>
        <v>0</v>
      </c>
      <c r="P45" s="189"/>
      <c r="Q45" s="190"/>
      <c r="R45" s="191">
        <f>SUM(P45:Q45)</f>
        <v>0</v>
      </c>
      <c r="S45" s="189"/>
      <c r="T45" s="190"/>
      <c r="U45" s="191">
        <f>SUM(S45:T45)</f>
        <v>0</v>
      </c>
      <c r="V45" s="209">
        <f>SUM(O45,R45,U45)</f>
        <v>0</v>
      </c>
      <c r="W45" s="189"/>
      <c r="X45" s="190"/>
      <c r="Y45" s="191">
        <f>SUM(W45:X45)</f>
        <v>0</v>
      </c>
      <c r="Z45" s="189"/>
      <c r="AA45" s="190"/>
      <c r="AB45" s="191">
        <f>SUM(Z45:AA45)</f>
        <v>0</v>
      </c>
      <c r="AC45" s="189"/>
      <c r="AD45" s="190"/>
      <c r="AE45" s="191">
        <f>SUM(AC45:AD45)</f>
        <v>0</v>
      </c>
      <c r="AF45" s="209">
        <f>SUM(Y45,AB45,AE45)</f>
        <v>0</v>
      </c>
      <c r="AG45" s="189"/>
      <c r="AH45" s="190"/>
      <c r="AI45" s="191">
        <f>SUM(AG45:AH45)</f>
        <v>0</v>
      </c>
      <c r="AJ45" s="189"/>
      <c r="AK45" s="190"/>
      <c r="AL45" s="191">
        <f>SUM(AJ45:AK45)</f>
        <v>0</v>
      </c>
      <c r="AM45" s="189"/>
      <c r="AN45" s="190"/>
      <c r="AO45" s="191">
        <f>SUM(AM45:AN45)</f>
        <v>0</v>
      </c>
      <c r="AP45" s="209">
        <f>SUM(AI45,AL45,AO45)</f>
        <v>0</v>
      </c>
      <c r="AQ45" s="142">
        <f>C45+F45+I45+M45+P45+S45+W45+Z45+AC45+AG45+AJ45+AM45</f>
        <v>0</v>
      </c>
      <c r="AR45" s="142">
        <f>D45+G45+J45+N45+Q45+T45+X45+AA45+AD45+AH45+AK45+AN45</f>
        <v>0</v>
      </c>
      <c r="AS45" s="142">
        <f t="shared" si="17"/>
        <v>0</v>
      </c>
    </row>
    <row r="46" spans="1:45" x14ac:dyDescent="0.25">
      <c r="A46" s="11" t="s">
        <v>402</v>
      </c>
      <c r="B46" s="159" t="s">
        <v>403</v>
      </c>
      <c r="C46" s="192"/>
      <c r="D46" s="193"/>
      <c r="E46" s="194">
        <f>SUM(C46:D46)</f>
        <v>0</v>
      </c>
      <c r="F46" s="192"/>
      <c r="G46" s="193"/>
      <c r="H46" s="194">
        <f>SUM(F46:G46)</f>
        <v>0</v>
      </c>
      <c r="I46" s="192"/>
      <c r="J46" s="193"/>
      <c r="K46" s="194">
        <f>SUM(I46:J46)</f>
        <v>0</v>
      </c>
      <c r="L46" s="211">
        <f>SUM(E46,H46,K46)</f>
        <v>0</v>
      </c>
      <c r="M46" s="192"/>
      <c r="N46" s="193"/>
      <c r="O46" s="194">
        <f>SUM(M46:N46)</f>
        <v>0</v>
      </c>
      <c r="P46" s="192"/>
      <c r="Q46" s="193"/>
      <c r="R46" s="194">
        <f>SUM(P46:Q46)</f>
        <v>0</v>
      </c>
      <c r="S46" s="192"/>
      <c r="T46" s="193"/>
      <c r="U46" s="194">
        <f>SUM(S46:T46)</f>
        <v>0</v>
      </c>
      <c r="V46" s="211">
        <f>SUM(O46,R46,U46)</f>
        <v>0</v>
      </c>
      <c r="W46" s="192"/>
      <c r="X46" s="193"/>
      <c r="Y46" s="194">
        <f>SUM(W46:X46)</f>
        <v>0</v>
      </c>
      <c r="Z46" s="192"/>
      <c r="AA46" s="193"/>
      <c r="AB46" s="194">
        <f>SUM(Z46:AA46)</f>
        <v>0</v>
      </c>
      <c r="AC46" s="192"/>
      <c r="AD46" s="193"/>
      <c r="AE46" s="194">
        <f>SUM(AC46:AD46)</f>
        <v>0</v>
      </c>
      <c r="AF46" s="211">
        <f>SUM(Y46,AB46,AE46)</f>
        <v>0</v>
      </c>
      <c r="AG46" s="192"/>
      <c r="AH46" s="193"/>
      <c r="AI46" s="194">
        <f>SUM(AG46:AH46)</f>
        <v>0</v>
      </c>
      <c r="AJ46" s="192"/>
      <c r="AK46" s="193"/>
      <c r="AL46" s="194">
        <f>SUM(AJ46:AK46)</f>
        <v>0</v>
      </c>
      <c r="AM46" s="192"/>
      <c r="AN46" s="193"/>
      <c r="AO46" s="194">
        <f>SUM(AM46:AN46)</f>
        <v>0</v>
      </c>
      <c r="AP46" s="211">
        <f>SUM(AI46,AL46,AO46)</f>
        <v>0</v>
      </c>
      <c r="AQ46" s="155">
        <f>C46+F46+I46+M46+P46+S46+W46+Z46+AC46+AG46+AJ46+AM46</f>
        <v>0</v>
      </c>
      <c r="AR46" s="155">
        <f>D46+G46+J46+N46+Q46+T46+X46+AA46+AD46+AH46+AK46+AN46</f>
        <v>0</v>
      </c>
      <c r="AS46" s="155">
        <f t="shared" si="17"/>
        <v>0</v>
      </c>
    </row>
    <row r="47" spans="1:45" ht="54" customHeight="1" x14ac:dyDescent="0.25">
      <c r="B47" s="167" t="s">
        <v>404</v>
      </c>
      <c r="C47" s="167"/>
      <c r="D47" s="168"/>
      <c r="E47" s="168"/>
      <c r="F47" s="167"/>
      <c r="G47" s="168"/>
      <c r="H47" s="168"/>
      <c r="I47" s="167"/>
      <c r="J47" s="168"/>
      <c r="K47" s="168"/>
      <c r="L47" s="168"/>
      <c r="M47" s="167"/>
      <c r="N47" s="168"/>
      <c r="O47" s="168"/>
      <c r="P47" s="167"/>
      <c r="Q47" s="168"/>
      <c r="R47" s="168"/>
      <c r="S47" s="167"/>
      <c r="T47" s="168"/>
      <c r="U47" s="168"/>
      <c r="V47" s="168"/>
      <c r="W47" s="167"/>
      <c r="X47" s="168"/>
      <c r="Y47" s="168"/>
      <c r="Z47" s="167"/>
      <c r="AA47" s="168"/>
      <c r="AB47" s="168"/>
      <c r="AC47" s="167"/>
      <c r="AD47" s="168"/>
      <c r="AE47" s="168"/>
      <c r="AF47" s="168"/>
      <c r="AG47" s="167"/>
      <c r="AH47" s="168"/>
      <c r="AI47" s="168"/>
      <c r="AJ47" s="167"/>
      <c r="AK47" s="168"/>
      <c r="AL47" s="168"/>
      <c r="AM47" s="167"/>
      <c r="AN47" s="168"/>
      <c r="AO47" s="168"/>
      <c r="AP47" s="168"/>
      <c r="AQ47" s="168"/>
      <c r="AR47" s="168"/>
      <c r="AS47" s="169"/>
    </row>
    <row r="48" spans="1:45" x14ac:dyDescent="0.25">
      <c r="A48" s="11" t="s">
        <v>405</v>
      </c>
      <c r="B48" s="161" t="s">
        <v>406</v>
      </c>
      <c r="C48" s="198"/>
      <c r="D48" s="199"/>
      <c r="E48" s="200">
        <f>SUM(C48:D48)</f>
        <v>0</v>
      </c>
      <c r="F48" s="198"/>
      <c r="G48" s="199"/>
      <c r="H48" s="200">
        <f>SUM(F48:G48)</f>
        <v>0</v>
      </c>
      <c r="I48" s="198"/>
      <c r="J48" s="199"/>
      <c r="K48" s="200">
        <f>SUM(I48:J48)</f>
        <v>0</v>
      </c>
      <c r="L48" s="212">
        <f>SUM(E48,H48,K48)</f>
        <v>0</v>
      </c>
      <c r="M48" s="198"/>
      <c r="N48" s="199"/>
      <c r="O48" s="200">
        <f>SUM(M48:N48)</f>
        <v>0</v>
      </c>
      <c r="P48" s="198"/>
      <c r="Q48" s="199"/>
      <c r="R48" s="200">
        <f>SUM(P48:Q48)</f>
        <v>0</v>
      </c>
      <c r="S48" s="198"/>
      <c r="T48" s="199"/>
      <c r="U48" s="200">
        <f>SUM(S48:T48)</f>
        <v>0</v>
      </c>
      <c r="V48" s="212">
        <f>SUM(O48,R48,U48)</f>
        <v>0</v>
      </c>
      <c r="W48" s="198"/>
      <c r="X48" s="199"/>
      <c r="Y48" s="200">
        <f>SUM(W48:X48)</f>
        <v>0</v>
      </c>
      <c r="Z48" s="198"/>
      <c r="AA48" s="199"/>
      <c r="AB48" s="200">
        <f>SUM(Z48:AA48)</f>
        <v>0</v>
      </c>
      <c r="AC48" s="198"/>
      <c r="AD48" s="199"/>
      <c r="AE48" s="200">
        <f>SUM(AC48:AD48)</f>
        <v>0</v>
      </c>
      <c r="AF48" s="212">
        <f>SUM(Y48,AB48,AE48)</f>
        <v>0</v>
      </c>
      <c r="AG48" s="198"/>
      <c r="AH48" s="199"/>
      <c r="AI48" s="200">
        <f>SUM(AG48:AH48)</f>
        <v>0</v>
      </c>
      <c r="AJ48" s="198"/>
      <c r="AK48" s="199"/>
      <c r="AL48" s="200">
        <f>SUM(AJ48:AK48)</f>
        <v>0</v>
      </c>
      <c r="AM48" s="198"/>
      <c r="AN48" s="199"/>
      <c r="AO48" s="200">
        <f>SUM(AM48:AN48)</f>
        <v>0</v>
      </c>
      <c r="AP48" s="212">
        <f>SUM(AI48,AL48,AO48)</f>
        <v>0</v>
      </c>
      <c r="AQ48" s="138">
        <f t="shared" ref="AQ48:AR50" si="41">C48+F48+I48+M48+P48+S48+W48+Z48+AC48+AG48+AJ48+AM48</f>
        <v>0</v>
      </c>
      <c r="AR48" s="138">
        <f t="shared" si="41"/>
        <v>0</v>
      </c>
      <c r="AS48" s="138">
        <f t="shared" si="17"/>
        <v>0</v>
      </c>
    </row>
    <row r="49" spans="1:45" x14ac:dyDescent="0.25">
      <c r="A49" s="11" t="s">
        <v>407</v>
      </c>
      <c r="B49" s="151" t="s">
        <v>408</v>
      </c>
      <c r="C49" s="189"/>
      <c r="D49" s="190"/>
      <c r="E49" s="191">
        <f>SUM(C49:D49)</f>
        <v>0</v>
      </c>
      <c r="F49" s="189"/>
      <c r="G49" s="190"/>
      <c r="H49" s="191">
        <f>SUM(F49:G49)</f>
        <v>0</v>
      </c>
      <c r="I49" s="189"/>
      <c r="J49" s="190"/>
      <c r="K49" s="191">
        <f>SUM(I49:J49)</f>
        <v>0</v>
      </c>
      <c r="L49" s="209">
        <f>SUM(E49,H49,K49)</f>
        <v>0</v>
      </c>
      <c r="M49" s="189"/>
      <c r="N49" s="190"/>
      <c r="O49" s="191">
        <f>SUM(M49:N49)</f>
        <v>0</v>
      </c>
      <c r="P49" s="189"/>
      <c r="Q49" s="190"/>
      <c r="R49" s="191">
        <f>SUM(P49:Q49)</f>
        <v>0</v>
      </c>
      <c r="S49" s="189"/>
      <c r="T49" s="190"/>
      <c r="U49" s="191">
        <f>SUM(S49:T49)</f>
        <v>0</v>
      </c>
      <c r="V49" s="209">
        <f>SUM(O49,R49,U49)</f>
        <v>0</v>
      </c>
      <c r="W49" s="189"/>
      <c r="X49" s="190"/>
      <c r="Y49" s="191">
        <f>SUM(W49:X49)</f>
        <v>0</v>
      </c>
      <c r="Z49" s="189"/>
      <c r="AA49" s="190"/>
      <c r="AB49" s="191">
        <f>SUM(Z49:AA49)</f>
        <v>0</v>
      </c>
      <c r="AC49" s="189"/>
      <c r="AD49" s="190"/>
      <c r="AE49" s="191">
        <f>SUM(AC49:AD49)</f>
        <v>0</v>
      </c>
      <c r="AF49" s="209">
        <f>SUM(Y49,AB49,AE49)</f>
        <v>0</v>
      </c>
      <c r="AG49" s="189"/>
      <c r="AH49" s="190"/>
      <c r="AI49" s="191">
        <f>SUM(AG49:AH49)</f>
        <v>0</v>
      </c>
      <c r="AJ49" s="189"/>
      <c r="AK49" s="190"/>
      <c r="AL49" s="191">
        <f>SUM(AJ49:AK49)</f>
        <v>0</v>
      </c>
      <c r="AM49" s="189"/>
      <c r="AN49" s="190"/>
      <c r="AO49" s="191">
        <f>SUM(AM49:AN49)</f>
        <v>0</v>
      </c>
      <c r="AP49" s="209">
        <f>SUM(AI49,AL49,AO49)</f>
        <v>0</v>
      </c>
      <c r="AQ49" s="142">
        <f t="shared" si="41"/>
        <v>0</v>
      </c>
      <c r="AR49" s="142">
        <f t="shared" si="41"/>
        <v>0</v>
      </c>
      <c r="AS49" s="142">
        <f t="shared" si="17"/>
        <v>0</v>
      </c>
    </row>
    <row r="50" spans="1:45" x14ac:dyDescent="0.25">
      <c r="A50" s="11" t="s">
        <v>409</v>
      </c>
      <c r="B50" s="154" t="s">
        <v>410</v>
      </c>
      <c r="C50" s="192"/>
      <c r="D50" s="193"/>
      <c r="E50" s="194">
        <f>SUM(C50:D50)</f>
        <v>0</v>
      </c>
      <c r="F50" s="192"/>
      <c r="G50" s="193"/>
      <c r="H50" s="194">
        <f>SUM(F50:G50)</f>
        <v>0</v>
      </c>
      <c r="I50" s="192"/>
      <c r="J50" s="193"/>
      <c r="K50" s="194">
        <f>SUM(I50:J50)</f>
        <v>0</v>
      </c>
      <c r="L50" s="211">
        <f>SUM(E50,H50,K50)</f>
        <v>0</v>
      </c>
      <c r="M50" s="192"/>
      <c r="N50" s="193"/>
      <c r="O50" s="194">
        <f>SUM(M50:N50)</f>
        <v>0</v>
      </c>
      <c r="P50" s="192"/>
      <c r="Q50" s="193"/>
      <c r="R50" s="194">
        <f>SUM(P50:Q50)</f>
        <v>0</v>
      </c>
      <c r="S50" s="192"/>
      <c r="T50" s="193"/>
      <c r="U50" s="194">
        <f>SUM(S50:T50)</f>
        <v>0</v>
      </c>
      <c r="V50" s="211">
        <f>SUM(O50,R50,U50)</f>
        <v>0</v>
      </c>
      <c r="W50" s="192"/>
      <c r="X50" s="193"/>
      <c r="Y50" s="194">
        <f>SUM(W50:X50)</f>
        <v>0</v>
      </c>
      <c r="Z50" s="192"/>
      <c r="AA50" s="193"/>
      <c r="AB50" s="194">
        <f>SUM(Z50:AA50)</f>
        <v>0</v>
      </c>
      <c r="AC50" s="192"/>
      <c r="AD50" s="193"/>
      <c r="AE50" s="194">
        <f>SUM(AC50:AD50)</f>
        <v>0</v>
      </c>
      <c r="AF50" s="211">
        <f>SUM(Y50,AB50,AE50)</f>
        <v>0</v>
      </c>
      <c r="AG50" s="192"/>
      <c r="AH50" s="193"/>
      <c r="AI50" s="194">
        <f>SUM(AG50:AH50)</f>
        <v>0</v>
      </c>
      <c r="AJ50" s="192"/>
      <c r="AK50" s="193"/>
      <c r="AL50" s="194">
        <f>SUM(AJ50:AK50)</f>
        <v>0</v>
      </c>
      <c r="AM50" s="192"/>
      <c r="AN50" s="193"/>
      <c r="AO50" s="194">
        <f>SUM(AM50:AN50)</f>
        <v>0</v>
      </c>
      <c r="AP50" s="211">
        <f>SUM(AI50,AL50,AO50)</f>
        <v>0</v>
      </c>
      <c r="AQ50" s="155">
        <f t="shared" si="41"/>
        <v>0</v>
      </c>
      <c r="AR50" s="155">
        <f t="shared" si="41"/>
        <v>0</v>
      </c>
      <c r="AS50" s="155">
        <f t="shared" si="17"/>
        <v>0</v>
      </c>
    </row>
    <row r="51" spans="1:45" ht="56.25" customHeight="1" x14ac:dyDescent="0.25">
      <c r="B51" s="167" t="s">
        <v>411</v>
      </c>
      <c r="C51" s="167"/>
      <c r="D51" s="168"/>
      <c r="E51" s="168"/>
      <c r="F51" s="167"/>
      <c r="G51" s="168"/>
      <c r="H51" s="168"/>
      <c r="I51" s="167"/>
      <c r="J51" s="168"/>
      <c r="K51" s="168"/>
      <c r="L51" s="168"/>
      <c r="M51" s="167"/>
      <c r="N51" s="168"/>
      <c r="O51" s="168"/>
      <c r="P51" s="167"/>
      <c r="Q51" s="168"/>
      <c r="R51" s="168"/>
      <c r="S51" s="167"/>
      <c r="T51" s="168"/>
      <c r="U51" s="168"/>
      <c r="V51" s="168"/>
      <c r="W51" s="167"/>
      <c r="X51" s="168"/>
      <c r="Y51" s="168"/>
      <c r="Z51" s="167"/>
      <c r="AA51" s="168"/>
      <c r="AB51" s="168"/>
      <c r="AC51" s="167"/>
      <c r="AD51" s="168"/>
      <c r="AE51" s="168"/>
      <c r="AF51" s="168"/>
      <c r="AG51" s="167"/>
      <c r="AH51" s="168"/>
      <c r="AI51" s="168"/>
      <c r="AJ51" s="167"/>
      <c r="AK51" s="168"/>
      <c r="AL51" s="168"/>
      <c r="AM51" s="167"/>
      <c r="AN51" s="168"/>
      <c r="AO51" s="168"/>
      <c r="AP51" s="168"/>
      <c r="AQ51" s="168"/>
      <c r="AR51" s="168"/>
      <c r="AS51" s="169"/>
    </row>
    <row r="52" spans="1:45" x14ac:dyDescent="0.25">
      <c r="A52" s="11" t="s">
        <v>412</v>
      </c>
      <c r="B52" s="7" t="s">
        <v>413</v>
      </c>
      <c r="C52" s="201"/>
      <c r="D52" s="202"/>
      <c r="E52" s="203">
        <f>SUM(C52:D52)</f>
        <v>0</v>
      </c>
      <c r="F52" s="201"/>
      <c r="G52" s="202"/>
      <c r="H52" s="203">
        <f>SUM(F52:G52)</f>
        <v>0</v>
      </c>
      <c r="I52" s="201"/>
      <c r="J52" s="202"/>
      <c r="K52" s="203">
        <f>SUM(I52:J52)</f>
        <v>0</v>
      </c>
      <c r="L52" s="208">
        <f>SUM(E52,H52,K52)</f>
        <v>0</v>
      </c>
      <c r="M52" s="201"/>
      <c r="N52" s="202"/>
      <c r="O52" s="203">
        <f>SUM(M52:N52)</f>
        <v>0</v>
      </c>
      <c r="P52" s="201"/>
      <c r="Q52" s="202"/>
      <c r="R52" s="203">
        <f>SUM(P52:Q52)</f>
        <v>0</v>
      </c>
      <c r="S52" s="201"/>
      <c r="T52" s="202"/>
      <c r="U52" s="203">
        <f>SUM(S52:T52)</f>
        <v>0</v>
      </c>
      <c r="V52" s="208">
        <f>SUM(O52,R52,U52)</f>
        <v>0</v>
      </c>
      <c r="W52" s="201"/>
      <c r="X52" s="202"/>
      <c r="Y52" s="203">
        <f>SUM(W52:X52)</f>
        <v>0</v>
      </c>
      <c r="Z52" s="201"/>
      <c r="AA52" s="202"/>
      <c r="AB52" s="203">
        <f>SUM(Z52:AA52)</f>
        <v>0</v>
      </c>
      <c r="AC52" s="201"/>
      <c r="AD52" s="202"/>
      <c r="AE52" s="203">
        <f>SUM(AC52:AD52)</f>
        <v>0</v>
      </c>
      <c r="AF52" s="208">
        <f>SUM(Y52,AB52,AE52)</f>
        <v>0</v>
      </c>
      <c r="AG52" s="201"/>
      <c r="AH52" s="202"/>
      <c r="AI52" s="203">
        <f>SUM(AG52:AH52)</f>
        <v>0</v>
      </c>
      <c r="AJ52" s="201"/>
      <c r="AK52" s="202"/>
      <c r="AL52" s="203">
        <f>SUM(AJ52:AK52)</f>
        <v>0</v>
      </c>
      <c r="AM52" s="201"/>
      <c r="AN52" s="202"/>
      <c r="AO52" s="203">
        <f>SUM(AM52:AN52)</f>
        <v>0</v>
      </c>
      <c r="AP52" s="208">
        <f>SUM(AI52,AL52,AO52)</f>
        <v>0</v>
      </c>
      <c r="AQ52" s="15">
        <f>C52+F52+I52+M52+P52+S52+W52+Z52+AC52+AG52+AJ52+AM52</f>
        <v>0</v>
      </c>
      <c r="AR52" s="15">
        <f>D52+G52+J52+N52+Q52+T52+X52+AA52+AD52+AH52+AK52+AN52</f>
        <v>0</v>
      </c>
      <c r="AS52" s="15">
        <f t="shared" si="17"/>
        <v>0</v>
      </c>
    </row>
    <row r="53" spans="1:45" x14ac:dyDescent="0.25">
      <c r="A53" s="11" t="s">
        <v>414</v>
      </c>
      <c r="B53" s="170" t="s">
        <v>415</v>
      </c>
      <c r="C53" s="171">
        <f t="shared" ref="C53:AS53" si="42">SUM(C52,C48:C50,C45:C46,C41:C43,C38:C39,C31:C36,C26:C29,C22:C24,C19:C20,C15:C17,C12)</f>
        <v>18376</v>
      </c>
      <c r="D53" s="172">
        <f t="shared" si="42"/>
        <v>7991</v>
      </c>
      <c r="E53" s="173">
        <f t="shared" si="42"/>
        <v>26367</v>
      </c>
      <c r="F53" s="171">
        <f t="shared" si="42"/>
        <v>18680</v>
      </c>
      <c r="G53" s="172">
        <f t="shared" si="42"/>
        <v>12667</v>
      </c>
      <c r="H53" s="173">
        <f t="shared" si="42"/>
        <v>31347</v>
      </c>
      <c r="I53" s="171">
        <f t="shared" si="42"/>
        <v>31550</v>
      </c>
      <c r="J53" s="172">
        <f t="shared" si="42"/>
        <v>13116</v>
      </c>
      <c r="K53" s="173">
        <f t="shared" si="42"/>
        <v>44666</v>
      </c>
      <c r="L53" s="174">
        <f t="shared" si="42"/>
        <v>102380</v>
      </c>
      <c r="M53" s="171">
        <f t="shared" si="42"/>
        <v>31068</v>
      </c>
      <c r="N53" s="172">
        <f t="shared" si="42"/>
        <v>10966</v>
      </c>
      <c r="O53" s="173">
        <f t="shared" si="42"/>
        <v>42034</v>
      </c>
      <c r="P53" s="171">
        <f t="shared" si="42"/>
        <v>31028</v>
      </c>
      <c r="Q53" s="172">
        <f t="shared" si="42"/>
        <v>8916</v>
      </c>
      <c r="R53" s="173">
        <f t="shared" si="42"/>
        <v>39944</v>
      </c>
      <c r="S53" s="171">
        <f t="shared" si="42"/>
        <v>31028</v>
      </c>
      <c r="T53" s="172">
        <f t="shared" si="42"/>
        <v>5893</v>
      </c>
      <c r="U53" s="173">
        <f t="shared" si="42"/>
        <v>36921</v>
      </c>
      <c r="V53" s="174">
        <f t="shared" si="42"/>
        <v>118899</v>
      </c>
      <c r="W53" s="171">
        <f t="shared" si="42"/>
        <v>31328</v>
      </c>
      <c r="X53" s="172">
        <f t="shared" si="42"/>
        <v>2625</v>
      </c>
      <c r="Y53" s="173">
        <f t="shared" si="42"/>
        <v>33953</v>
      </c>
      <c r="Z53" s="171">
        <f t="shared" si="42"/>
        <v>31328</v>
      </c>
      <c r="AA53" s="172">
        <f t="shared" si="42"/>
        <v>466</v>
      </c>
      <c r="AB53" s="173">
        <f t="shared" si="42"/>
        <v>31794</v>
      </c>
      <c r="AC53" s="171">
        <f t="shared" si="42"/>
        <v>31910</v>
      </c>
      <c r="AD53" s="172">
        <f t="shared" si="42"/>
        <v>466</v>
      </c>
      <c r="AE53" s="173">
        <f t="shared" si="42"/>
        <v>32376</v>
      </c>
      <c r="AF53" s="174">
        <f t="shared" si="42"/>
        <v>98123</v>
      </c>
      <c r="AG53" s="171">
        <f t="shared" si="42"/>
        <v>31328</v>
      </c>
      <c r="AH53" s="172">
        <f t="shared" si="42"/>
        <v>466</v>
      </c>
      <c r="AI53" s="173">
        <f t="shared" si="42"/>
        <v>31794</v>
      </c>
      <c r="AJ53" s="171">
        <f t="shared" si="42"/>
        <v>31328</v>
      </c>
      <c r="AK53" s="172">
        <f t="shared" si="42"/>
        <v>466</v>
      </c>
      <c r="AL53" s="173">
        <f t="shared" si="42"/>
        <v>31794</v>
      </c>
      <c r="AM53" s="171">
        <f t="shared" si="42"/>
        <v>33391</v>
      </c>
      <c r="AN53" s="172">
        <f t="shared" si="42"/>
        <v>466</v>
      </c>
      <c r="AO53" s="173">
        <f t="shared" si="42"/>
        <v>33857</v>
      </c>
      <c r="AP53" s="174">
        <f t="shared" si="42"/>
        <v>97445</v>
      </c>
      <c r="AQ53" s="174">
        <f t="shared" si="42"/>
        <v>352343</v>
      </c>
      <c r="AR53" s="174">
        <f t="shared" si="42"/>
        <v>64504</v>
      </c>
      <c r="AS53" s="174">
        <f t="shared" si="42"/>
        <v>416847</v>
      </c>
    </row>
    <row r="54" spans="1:45" ht="46.5" customHeight="1" x14ac:dyDescent="0.25">
      <c r="B54" s="167" t="s">
        <v>416</v>
      </c>
      <c r="C54" s="167"/>
      <c r="D54" s="168"/>
      <c r="E54" s="168"/>
      <c r="F54" s="167"/>
      <c r="G54" s="168"/>
      <c r="H54" s="168"/>
      <c r="I54" s="167"/>
      <c r="J54" s="168"/>
      <c r="K54" s="168"/>
      <c r="L54" s="168"/>
      <c r="M54" s="167"/>
      <c r="N54" s="168"/>
      <c r="O54" s="168"/>
      <c r="P54" s="167"/>
      <c r="Q54" s="168"/>
      <c r="R54" s="168"/>
      <c r="S54" s="167"/>
      <c r="T54" s="168"/>
      <c r="U54" s="168"/>
      <c r="V54" s="168"/>
      <c r="W54" s="167"/>
      <c r="X54" s="168"/>
      <c r="Y54" s="168"/>
      <c r="Z54" s="167"/>
      <c r="AA54" s="168"/>
      <c r="AB54" s="168"/>
      <c r="AC54" s="167"/>
      <c r="AD54" s="168"/>
      <c r="AE54" s="168"/>
      <c r="AF54" s="168"/>
      <c r="AG54" s="167"/>
      <c r="AH54" s="168"/>
      <c r="AI54" s="168"/>
      <c r="AJ54" s="167"/>
      <c r="AK54" s="168"/>
      <c r="AL54" s="168"/>
      <c r="AM54" s="167"/>
      <c r="AN54" s="168"/>
      <c r="AO54" s="168"/>
      <c r="AP54" s="168"/>
      <c r="AQ54" s="168"/>
      <c r="AR54" s="168"/>
      <c r="AS54" s="169"/>
    </row>
    <row r="55" spans="1:45" x14ac:dyDescent="0.25">
      <c r="A55" s="11" t="s">
        <v>417</v>
      </c>
      <c r="B55" s="161" t="s">
        <v>418</v>
      </c>
      <c r="C55" s="198">
        <f>2909+3891</f>
        <v>6800</v>
      </c>
      <c r="D55" s="199">
        <v>779</v>
      </c>
      <c r="E55" s="200">
        <f t="shared" ref="E55:E70" si="43">SUM(C55:D55)</f>
        <v>7579</v>
      </c>
      <c r="F55" s="198">
        <v>7000</v>
      </c>
      <c r="G55" s="199">
        <v>2500</v>
      </c>
      <c r="H55" s="200">
        <f t="shared" ref="H55:H70" si="44">SUM(F55:G55)</f>
        <v>9500</v>
      </c>
      <c r="I55" s="198">
        <v>7000</v>
      </c>
      <c r="J55" s="199">
        <v>2500</v>
      </c>
      <c r="K55" s="200">
        <f t="shared" ref="K55:K70" si="45">SUM(I55:J55)</f>
        <v>9500</v>
      </c>
      <c r="L55" s="212">
        <f t="shared" ref="L55:L70" si="46">SUM(E55,H55,K55)</f>
        <v>26579</v>
      </c>
      <c r="M55" s="198">
        <v>7000</v>
      </c>
      <c r="N55" s="199"/>
      <c r="O55" s="200">
        <f t="shared" ref="O55:O70" si="47">SUM(M55:N55)</f>
        <v>7000</v>
      </c>
      <c r="P55" s="198">
        <v>7000</v>
      </c>
      <c r="Q55" s="199"/>
      <c r="R55" s="200">
        <f t="shared" ref="R55:R70" si="48">SUM(P55:Q55)</f>
        <v>7000</v>
      </c>
      <c r="S55" s="198">
        <v>7000</v>
      </c>
      <c r="T55" s="199"/>
      <c r="U55" s="200">
        <f t="shared" ref="U55:U70" si="49">SUM(S55:T55)</f>
        <v>7000</v>
      </c>
      <c r="V55" s="212">
        <f t="shared" ref="V55:V70" si="50">SUM(O55,R55,U55)</f>
        <v>21000</v>
      </c>
      <c r="W55" s="198">
        <v>7000</v>
      </c>
      <c r="X55" s="199"/>
      <c r="Y55" s="200">
        <f t="shared" ref="Y55:Y70" si="51">SUM(W55:X55)</f>
        <v>7000</v>
      </c>
      <c r="Z55" s="198">
        <v>7000</v>
      </c>
      <c r="AA55" s="199"/>
      <c r="AB55" s="200">
        <f t="shared" ref="AB55:AB70" si="52">SUM(Z55:AA55)</f>
        <v>7000</v>
      </c>
      <c r="AC55" s="198">
        <v>7000</v>
      </c>
      <c r="AD55" s="199"/>
      <c r="AE55" s="200">
        <f t="shared" ref="AE55:AE70" si="53">SUM(AC55:AD55)</f>
        <v>7000</v>
      </c>
      <c r="AF55" s="212">
        <f t="shared" ref="AF55:AF70" si="54">SUM(Y55,AB55,AE55)</f>
        <v>21000</v>
      </c>
      <c r="AG55" s="198">
        <v>7000</v>
      </c>
      <c r="AH55" s="199"/>
      <c r="AI55" s="200">
        <f t="shared" ref="AI55:AI70" si="55">SUM(AG55:AH55)</f>
        <v>7000</v>
      </c>
      <c r="AJ55" s="198">
        <v>7000</v>
      </c>
      <c r="AK55" s="199"/>
      <c r="AL55" s="200">
        <f t="shared" ref="AL55:AL70" si="56">SUM(AJ55:AK55)</f>
        <v>7000</v>
      </c>
      <c r="AM55" s="198">
        <v>13500</v>
      </c>
      <c r="AN55" s="199"/>
      <c r="AO55" s="200">
        <f t="shared" ref="AO55:AO70" si="57">SUM(AM55:AN55)</f>
        <v>13500</v>
      </c>
      <c r="AP55" s="212">
        <f t="shared" ref="AP55:AP70" si="58">SUM(AI55,AL55,AO55)</f>
        <v>27500</v>
      </c>
      <c r="AQ55" s="138">
        <f t="shared" ref="AQ55:AR70" si="59">C55+F55+I55+M55+P55+S55+W55+Z55+AC55+AG55+AJ55+AM55</f>
        <v>90300</v>
      </c>
      <c r="AR55" s="138">
        <f t="shared" si="59"/>
        <v>5779</v>
      </c>
      <c r="AS55" s="138">
        <f t="shared" si="17"/>
        <v>96079</v>
      </c>
    </row>
    <row r="56" spans="1:45" x14ac:dyDescent="0.25">
      <c r="A56" s="11" t="s">
        <v>419</v>
      </c>
      <c r="B56" s="151" t="s">
        <v>420</v>
      </c>
      <c r="C56" s="189">
        <v>74</v>
      </c>
      <c r="D56" s="190">
        <f>200+266+37+41</f>
        <v>544</v>
      </c>
      <c r="E56" s="191">
        <f t="shared" si="43"/>
        <v>618</v>
      </c>
      <c r="F56" s="189">
        <v>1500</v>
      </c>
      <c r="G56" s="190">
        <v>800</v>
      </c>
      <c r="H56" s="191">
        <f t="shared" si="44"/>
        <v>2300</v>
      </c>
      <c r="I56" s="189">
        <v>1500</v>
      </c>
      <c r="J56" s="190">
        <v>800</v>
      </c>
      <c r="K56" s="191">
        <f t="shared" si="45"/>
        <v>2300</v>
      </c>
      <c r="L56" s="209">
        <f t="shared" si="46"/>
        <v>5218</v>
      </c>
      <c r="M56" s="189">
        <v>1500</v>
      </c>
      <c r="N56" s="190">
        <v>800</v>
      </c>
      <c r="O56" s="191">
        <f t="shared" si="47"/>
        <v>2300</v>
      </c>
      <c r="P56" s="189">
        <v>1500</v>
      </c>
      <c r="Q56" s="190">
        <v>800</v>
      </c>
      <c r="R56" s="191">
        <f t="shared" si="48"/>
        <v>2300</v>
      </c>
      <c r="S56" s="189">
        <v>1500</v>
      </c>
      <c r="T56" s="190"/>
      <c r="U56" s="191">
        <f t="shared" si="49"/>
        <v>1500</v>
      </c>
      <c r="V56" s="209">
        <f t="shared" si="50"/>
        <v>6100</v>
      </c>
      <c r="W56" s="189">
        <v>1500</v>
      </c>
      <c r="X56" s="190"/>
      <c r="Y56" s="191">
        <f t="shared" si="51"/>
        <v>1500</v>
      </c>
      <c r="Z56" s="189">
        <v>1500</v>
      </c>
      <c r="AA56" s="190"/>
      <c r="AB56" s="191">
        <f t="shared" si="52"/>
        <v>1500</v>
      </c>
      <c r="AC56" s="189">
        <v>1500</v>
      </c>
      <c r="AD56" s="190"/>
      <c r="AE56" s="191">
        <f t="shared" si="53"/>
        <v>1500</v>
      </c>
      <c r="AF56" s="209">
        <f t="shared" si="54"/>
        <v>4500</v>
      </c>
      <c r="AG56" s="189">
        <v>1500</v>
      </c>
      <c r="AH56" s="190"/>
      <c r="AI56" s="191">
        <f t="shared" si="55"/>
        <v>1500</v>
      </c>
      <c r="AJ56" s="189">
        <v>1500</v>
      </c>
      <c r="AK56" s="190"/>
      <c r="AL56" s="191">
        <f t="shared" si="56"/>
        <v>1500</v>
      </c>
      <c r="AM56" s="189">
        <v>2700</v>
      </c>
      <c r="AN56" s="190"/>
      <c r="AO56" s="191">
        <f t="shared" si="57"/>
        <v>2700</v>
      </c>
      <c r="AP56" s="209">
        <f t="shared" si="58"/>
        <v>5700</v>
      </c>
      <c r="AQ56" s="142">
        <f t="shared" si="59"/>
        <v>17774</v>
      </c>
      <c r="AR56" s="142">
        <f t="shared" si="59"/>
        <v>3744</v>
      </c>
      <c r="AS56" s="142">
        <f t="shared" si="17"/>
        <v>21518</v>
      </c>
    </row>
    <row r="57" spans="1:45" x14ac:dyDescent="0.25">
      <c r="A57" s="11" t="s">
        <v>421</v>
      </c>
      <c r="B57" s="152" t="s">
        <v>422</v>
      </c>
      <c r="C57" s="192"/>
      <c r="D57" s="193">
        <v>234</v>
      </c>
      <c r="E57" s="194">
        <f t="shared" si="43"/>
        <v>234</v>
      </c>
      <c r="F57" s="192">
        <v>10000</v>
      </c>
      <c r="G57" s="193">
        <v>150</v>
      </c>
      <c r="H57" s="194">
        <f t="shared" si="44"/>
        <v>10150</v>
      </c>
      <c r="I57" s="192">
        <v>8200</v>
      </c>
      <c r="J57" s="193">
        <v>500</v>
      </c>
      <c r="K57" s="194">
        <f t="shared" si="45"/>
        <v>8700</v>
      </c>
      <c r="L57" s="210">
        <f t="shared" si="46"/>
        <v>19084</v>
      </c>
      <c r="M57" s="192">
        <v>8200</v>
      </c>
      <c r="N57" s="193">
        <v>500</v>
      </c>
      <c r="O57" s="194">
        <f t="shared" si="47"/>
        <v>8700</v>
      </c>
      <c r="P57" s="192">
        <v>8200</v>
      </c>
      <c r="Q57" s="193"/>
      <c r="R57" s="194">
        <f t="shared" si="48"/>
        <v>8200</v>
      </c>
      <c r="S57" s="192">
        <v>8200</v>
      </c>
      <c r="T57" s="193"/>
      <c r="U57" s="194">
        <f t="shared" si="49"/>
        <v>8200</v>
      </c>
      <c r="V57" s="210">
        <f t="shared" si="50"/>
        <v>25100</v>
      </c>
      <c r="W57" s="192">
        <v>8200</v>
      </c>
      <c r="X57" s="193"/>
      <c r="Y57" s="194">
        <f t="shared" si="51"/>
        <v>8200</v>
      </c>
      <c r="Z57" s="192">
        <v>8200</v>
      </c>
      <c r="AA57" s="193"/>
      <c r="AB57" s="194">
        <f t="shared" si="52"/>
        <v>8200</v>
      </c>
      <c r="AC57" s="192">
        <v>8200</v>
      </c>
      <c r="AD57" s="193"/>
      <c r="AE57" s="194">
        <f t="shared" si="53"/>
        <v>8200</v>
      </c>
      <c r="AF57" s="210">
        <f t="shared" si="54"/>
        <v>24600</v>
      </c>
      <c r="AG57" s="192">
        <v>8200</v>
      </c>
      <c r="AH57" s="193"/>
      <c r="AI57" s="194">
        <f t="shared" si="55"/>
        <v>8200</v>
      </c>
      <c r="AJ57" s="192">
        <v>8200</v>
      </c>
      <c r="AK57" s="193"/>
      <c r="AL57" s="194">
        <f t="shared" si="56"/>
        <v>8200</v>
      </c>
      <c r="AM57" s="192">
        <v>22500</v>
      </c>
      <c r="AN57" s="193"/>
      <c r="AO57" s="194">
        <f t="shared" si="57"/>
        <v>22500</v>
      </c>
      <c r="AP57" s="210">
        <f t="shared" si="58"/>
        <v>38900</v>
      </c>
      <c r="AQ57" s="140">
        <f t="shared" si="59"/>
        <v>106300</v>
      </c>
      <c r="AR57" s="140">
        <f t="shared" si="59"/>
        <v>1384</v>
      </c>
      <c r="AS57" s="140">
        <f t="shared" si="17"/>
        <v>107684</v>
      </c>
    </row>
    <row r="58" spans="1:45" x14ac:dyDescent="0.25">
      <c r="A58" s="11" t="s">
        <v>423</v>
      </c>
      <c r="B58" s="45" t="s">
        <v>424</v>
      </c>
      <c r="C58" s="204"/>
      <c r="D58" s="205">
        <v>6708</v>
      </c>
      <c r="E58" s="206">
        <f t="shared" si="43"/>
        <v>6708</v>
      </c>
      <c r="F58" s="204"/>
      <c r="G58" s="193">
        <v>10000</v>
      </c>
      <c r="H58" s="206">
        <f t="shared" si="44"/>
        <v>10000</v>
      </c>
      <c r="I58" s="192">
        <v>9438</v>
      </c>
      <c r="J58" s="205">
        <v>8000</v>
      </c>
      <c r="K58" s="206">
        <f t="shared" si="45"/>
        <v>17438</v>
      </c>
      <c r="L58" s="213">
        <f t="shared" si="46"/>
        <v>34146</v>
      </c>
      <c r="M58" s="192">
        <v>9438</v>
      </c>
      <c r="N58" s="205">
        <v>6000</v>
      </c>
      <c r="O58" s="206">
        <f t="shared" si="47"/>
        <v>15438</v>
      </c>
      <c r="P58" s="192">
        <v>9438</v>
      </c>
      <c r="Q58" s="205">
        <v>5750</v>
      </c>
      <c r="R58" s="206">
        <f t="shared" si="48"/>
        <v>15188</v>
      </c>
      <c r="S58" s="192">
        <v>9438</v>
      </c>
      <c r="T58" s="205"/>
      <c r="U58" s="206">
        <f t="shared" si="49"/>
        <v>9438</v>
      </c>
      <c r="V58" s="213">
        <f t="shared" si="50"/>
        <v>40064</v>
      </c>
      <c r="W58" s="192">
        <v>9438</v>
      </c>
      <c r="X58" s="205"/>
      <c r="Y58" s="206">
        <f t="shared" si="51"/>
        <v>9438</v>
      </c>
      <c r="Z58" s="192">
        <v>9438</v>
      </c>
      <c r="AA58" s="205"/>
      <c r="AB58" s="206">
        <f t="shared" si="52"/>
        <v>9438</v>
      </c>
      <c r="AC58" s="192">
        <v>9438</v>
      </c>
      <c r="AD58" s="205"/>
      <c r="AE58" s="206">
        <f t="shared" si="53"/>
        <v>9438</v>
      </c>
      <c r="AF58" s="213">
        <f t="shared" si="54"/>
        <v>28314</v>
      </c>
      <c r="AG58" s="192">
        <v>9438</v>
      </c>
      <c r="AH58" s="205"/>
      <c r="AI58" s="206">
        <f t="shared" si="55"/>
        <v>9438</v>
      </c>
      <c r="AJ58" s="192">
        <v>9438</v>
      </c>
      <c r="AK58" s="205"/>
      <c r="AL58" s="206">
        <f t="shared" si="56"/>
        <v>9438</v>
      </c>
      <c r="AM58" s="192">
        <v>9438</v>
      </c>
      <c r="AN58" s="205"/>
      <c r="AO58" s="206">
        <f t="shared" si="57"/>
        <v>9438</v>
      </c>
      <c r="AP58" s="213">
        <f t="shared" si="58"/>
        <v>28314</v>
      </c>
      <c r="AQ58" s="14">
        <f t="shared" si="59"/>
        <v>94380</v>
      </c>
      <c r="AR58" s="14">
        <f t="shared" si="59"/>
        <v>36458</v>
      </c>
      <c r="AS58" s="14">
        <f t="shared" si="17"/>
        <v>130838</v>
      </c>
    </row>
    <row r="59" spans="1:45" x14ac:dyDescent="0.25">
      <c r="A59" s="11" t="s">
        <v>425</v>
      </c>
      <c r="B59" s="45" t="s">
        <v>426</v>
      </c>
      <c r="C59" s="204"/>
      <c r="D59" s="205"/>
      <c r="E59" s="206">
        <f t="shared" si="43"/>
        <v>0</v>
      </c>
      <c r="F59" s="204"/>
      <c r="G59" s="205"/>
      <c r="H59" s="206">
        <f t="shared" si="44"/>
        <v>0</v>
      </c>
      <c r="I59" s="204"/>
      <c r="J59" s="205"/>
      <c r="K59" s="206">
        <f t="shared" si="45"/>
        <v>0</v>
      </c>
      <c r="L59" s="213">
        <f t="shared" si="46"/>
        <v>0</v>
      </c>
      <c r="M59" s="204"/>
      <c r="N59" s="205"/>
      <c r="O59" s="206">
        <f t="shared" si="47"/>
        <v>0</v>
      </c>
      <c r="P59" s="204"/>
      <c r="Q59" s="205"/>
      <c r="R59" s="206">
        <f t="shared" si="48"/>
        <v>0</v>
      </c>
      <c r="S59" s="204"/>
      <c r="T59" s="205"/>
      <c r="U59" s="206">
        <f t="shared" si="49"/>
        <v>0</v>
      </c>
      <c r="V59" s="213">
        <f t="shared" si="50"/>
        <v>0</v>
      </c>
      <c r="W59" s="204"/>
      <c r="X59" s="205"/>
      <c r="Y59" s="206">
        <f t="shared" si="51"/>
        <v>0</v>
      </c>
      <c r="Z59" s="204"/>
      <c r="AA59" s="205"/>
      <c r="AB59" s="206">
        <f t="shared" si="52"/>
        <v>0</v>
      </c>
      <c r="AC59" s="204"/>
      <c r="AD59" s="205"/>
      <c r="AE59" s="206">
        <f t="shared" si="53"/>
        <v>0</v>
      </c>
      <c r="AF59" s="213">
        <f t="shared" si="54"/>
        <v>0</v>
      </c>
      <c r="AG59" s="204"/>
      <c r="AH59" s="205"/>
      <c r="AI59" s="206">
        <f t="shared" si="55"/>
        <v>0</v>
      </c>
      <c r="AJ59" s="204"/>
      <c r="AK59" s="205"/>
      <c r="AL59" s="206">
        <f t="shared" si="56"/>
        <v>0</v>
      </c>
      <c r="AM59" s="204"/>
      <c r="AN59" s="205"/>
      <c r="AO59" s="206">
        <f t="shared" si="57"/>
        <v>0</v>
      </c>
      <c r="AP59" s="213">
        <f t="shared" si="58"/>
        <v>0</v>
      </c>
      <c r="AQ59" s="14">
        <f t="shared" si="59"/>
        <v>0</v>
      </c>
      <c r="AR59" s="14">
        <f t="shared" si="59"/>
        <v>0</v>
      </c>
      <c r="AS59" s="14">
        <f t="shared" si="17"/>
        <v>0</v>
      </c>
    </row>
    <row r="60" spans="1:45" x14ac:dyDescent="0.25">
      <c r="A60" s="11" t="s">
        <v>427</v>
      </c>
      <c r="B60" s="45" t="s">
        <v>428</v>
      </c>
      <c r="C60" s="204"/>
      <c r="D60" s="205"/>
      <c r="E60" s="206">
        <f>SUM(C60:D60)</f>
        <v>0</v>
      </c>
      <c r="F60" s="204"/>
      <c r="G60" s="205"/>
      <c r="H60" s="206">
        <f>SUM(F60:G60)</f>
        <v>0</v>
      </c>
      <c r="I60" s="204"/>
      <c r="J60" s="205"/>
      <c r="K60" s="206">
        <f>SUM(I60:J60)</f>
        <v>0</v>
      </c>
      <c r="L60" s="213">
        <f>SUM(E60,H60,K60)</f>
        <v>0</v>
      </c>
      <c r="M60" s="204"/>
      <c r="N60" s="205"/>
      <c r="O60" s="206">
        <f>SUM(M60:N60)</f>
        <v>0</v>
      </c>
      <c r="P60" s="204"/>
      <c r="Q60" s="205"/>
      <c r="R60" s="206">
        <f>SUM(P60:Q60)</f>
        <v>0</v>
      </c>
      <c r="S60" s="204"/>
      <c r="T60" s="205"/>
      <c r="U60" s="206">
        <f>SUM(S60:T60)</f>
        <v>0</v>
      </c>
      <c r="V60" s="213">
        <f>SUM(O60,R60,U60)</f>
        <v>0</v>
      </c>
      <c r="W60" s="204"/>
      <c r="X60" s="205"/>
      <c r="Y60" s="206">
        <f>SUM(W60:X60)</f>
        <v>0</v>
      </c>
      <c r="Z60" s="204"/>
      <c r="AA60" s="205"/>
      <c r="AB60" s="206">
        <f>SUM(Z60:AA60)</f>
        <v>0</v>
      </c>
      <c r="AC60" s="204"/>
      <c r="AD60" s="205"/>
      <c r="AE60" s="206">
        <f>SUM(AC60:AD60)</f>
        <v>0</v>
      </c>
      <c r="AF60" s="213">
        <f>SUM(Y60,AB60,AE60)</f>
        <v>0</v>
      </c>
      <c r="AG60" s="204"/>
      <c r="AH60" s="205"/>
      <c r="AI60" s="206">
        <f>SUM(AG60:AH60)</f>
        <v>0</v>
      </c>
      <c r="AJ60" s="204"/>
      <c r="AK60" s="205"/>
      <c r="AL60" s="206">
        <f>SUM(AJ60:AK60)</f>
        <v>0</v>
      </c>
      <c r="AM60" s="204"/>
      <c r="AN60" s="205"/>
      <c r="AO60" s="206">
        <f>SUM(AM60:AN60)</f>
        <v>0</v>
      </c>
      <c r="AP60" s="213">
        <f>SUM(AI60,AL60,AO60)</f>
        <v>0</v>
      </c>
      <c r="AQ60" s="14">
        <f>C60+F60+I60+M60+P60+S60+W60+Z60+AC60+AG60+AJ60+AM60</f>
        <v>0</v>
      </c>
      <c r="AR60" s="14">
        <f>D60+G60+J60+N60+Q60+T60+X60+AA60+AD60+AH60+AK60+AN60</f>
        <v>0</v>
      </c>
      <c r="AS60" s="14">
        <f>SUM(AQ60:AR60)</f>
        <v>0</v>
      </c>
    </row>
    <row r="61" spans="1:45" ht="52.5" x14ac:dyDescent="0.25">
      <c r="A61" s="11" t="s">
        <v>429</v>
      </c>
      <c r="B61" s="215" t="s">
        <v>430</v>
      </c>
      <c r="C61" s="198"/>
      <c r="D61" s="199"/>
      <c r="E61" s="200">
        <f t="shared" si="43"/>
        <v>0</v>
      </c>
      <c r="F61" s="198"/>
      <c r="G61" s="199"/>
      <c r="H61" s="200">
        <f t="shared" si="44"/>
        <v>0</v>
      </c>
      <c r="I61" s="198"/>
      <c r="J61" s="199"/>
      <c r="K61" s="200">
        <f t="shared" si="45"/>
        <v>0</v>
      </c>
      <c r="L61" s="214">
        <f t="shared" si="46"/>
        <v>0</v>
      </c>
      <c r="M61" s="198"/>
      <c r="N61" s="199"/>
      <c r="O61" s="200">
        <f t="shared" si="47"/>
        <v>0</v>
      </c>
      <c r="P61" s="198"/>
      <c r="Q61" s="199"/>
      <c r="R61" s="200">
        <f t="shared" si="48"/>
        <v>0</v>
      </c>
      <c r="S61" s="198"/>
      <c r="T61" s="199"/>
      <c r="U61" s="200">
        <f t="shared" si="49"/>
        <v>0</v>
      </c>
      <c r="V61" s="214">
        <f t="shared" si="50"/>
        <v>0</v>
      </c>
      <c r="W61" s="198"/>
      <c r="X61" s="199"/>
      <c r="Y61" s="200">
        <f t="shared" si="51"/>
        <v>0</v>
      </c>
      <c r="Z61" s="198"/>
      <c r="AA61" s="199"/>
      <c r="AB61" s="200">
        <f t="shared" si="52"/>
        <v>0</v>
      </c>
      <c r="AC61" s="198"/>
      <c r="AD61" s="199"/>
      <c r="AE61" s="200">
        <f t="shared" si="53"/>
        <v>0</v>
      </c>
      <c r="AF61" s="214">
        <f t="shared" si="54"/>
        <v>0</v>
      </c>
      <c r="AG61" s="198"/>
      <c r="AH61" s="199"/>
      <c r="AI61" s="200">
        <f t="shared" si="55"/>
        <v>0</v>
      </c>
      <c r="AJ61" s="198"/>
      <c r="AK61" s="199"/>
      <c r="AL61" s="200">
        <f t="shared" si="56"/>
        <v>0</v>
      </c>
      <c r="AM61" s="198"/>
      <c r="AN61" s="199"/>
      <c r="AO61" s="200">
        <f t="shared" si="57"/>
        <v>0</v>
      </c>
      <c r="AP61" s="214">
        <f t="shared" si="58"/>
        <v>0</v>
      </c>
      <c r="AQ61" s="163">
        <f t="shared" si="59"/>
        <v>0</v>
      </c>
      <c r="AR61" s="163">
        <f t="shared" si="59"/>
        <v>0</v>
      </c>
      <c r="AS61" s="163">
        <f t="shared" si="17"/>
        <v>0</v>
      </c>
    </row>
    <row r="62" spans="1:45" x14ac:dyDescent="0.25">
      <c r="A62" s="11" t="s">
        <v>431</v>
      </c>
      <c r="B62" s="149" t="s">
        <v>432</v>
      </c>
      <c r="C62" s="189">
        <v>179</v>
      </c>
      <c r="D62" s="190">
        <f>10+873+27</f>
        <v>910</v>
      </c>
      <c r="E62" s="191">
        <f t="shared" si="43"/>
        <v>1089</v>
      </c>
      <c r="F62" s="189">
        <v>2000</v>
      </c>
      <c r="G62" s="190">
        <v>2500</v>
      </c>
      <c r="H62" s="191">
        <f t="shared" si="44"/>
        <v>4500</v>
      </c>
      <c r="I62" s="189">
        <v>2000</v>
      </c>
      <c r="J62" s="190">
        <v>2000</v>
      </c>
      <c r="K62" s="191">
        <f t="shared" si="45"/>
        <v>4000</v>
      </c>
      <c r="L62" s="209">
        <f t="shared" si="46"/>
        <v>9589</v>
      </c>
      <c r="M62" s="189">
        <v>2000</v>
      </c>
      <c r="N62" s="190">
        <v>1500</v>
      </c>
      <c r="O62" s="191">
        <f t="shared" si="47"/>
        <v>3500</v>
      </c>
      <c r="P62" s="189">
        <v>2000</v>
      </c>
      <c r="Q62" s="190">
        <v>1000</v>
      </c>
      <c r="R62" s="191">
        <f t="shared" si="48"/>
        <v>3000</v>
      </c>
      <c r="S62" s="189">
        <v>2000</v>
      </c>
      <c r="T62" s="190">
        <v>1000</v>
      </c>
      <c r="U62" s="191">
        <f t="shared" si="49"/>
        <v>3000</v>
      </c>
      <c r="V62" s="209">
        <f t="shared" si="50"/>
        <v>9500</v>
      </c>
      <c r="W62" s="189">
        <v>2000</v>
      </c>
      <c r="X62" s="190"/>
      <c r="Y62" s="191">
        <f t="shared" si="51"/>
        <v>2000</v>
      </c>
      <c r="Z62" s="189">
        <v>2000</v>
      </c>
      <c r="AA62" s="190"/>
      <c r="AB62" s="191">
        <f t="shared" si="52"/>
        <v>2000</v>
      </c>
      <c r="AC62" s="189">
        <v>2000</v>
      </c>
      <c r="AD62" s="190"/>
      <c r="AE62" s="191">
        <f t="shared" si="53"/>
        <v>2000</v>
      </c>
      <c r="AF62" s="209">
        <f t="shared" si="54"/>
        <v>6000</v>
      </c>
      <c r="AG62" s="189">
        <v>2000</v>
      </c>
      <c r="AH62" s="190"/>
      <c r="AI62" s="191">
        <f t="shared" si="55"/>
        <v>2000</v>
      </c>
      <c r="AJ62" s="189">
        <v>2000</v>
      </c>
      <c r="AK62" s="190"/>
      <c r="AL62" s="191">
        <f t="shared" si="56"/>
        <v>2000</v>
      </c>
      <c r="AM62" s="189">
        <v>2000</v>
      </c>
      <c r="AN62" s="190"/>
      <c r="AO62" s="191">
        <f t="shared" si="57"/>
        <v>2000</v>
      </c>
      <c r="AP62" s="209">
        <f t="shared" si="58"/>
        <v>6000</v>
      </c>
      <c r="AQ62" s="142">
        <f t="shared" si="59"/>
        <v>22179</v>
      </c>
      <c r="AR62" s="142">
        <f t="shared" si="59"/>
        <v>8910</v>
      </c>
      <c r="AS62" s="142">
        <f t="shared" si="17"/>
        <v>31089</v>
      </c>
    </row>
    <row r="63" spans="1:45" x14ac:dyDescent="0.25">
      <c r="A63" s="11" t="s">
        <v>433</v>
      </c>
      <c r="B63" s="149" t="s">
        <v>434</v>
      </c>
      <c r="C63" s="189"/>
      <c r="D63" s="190"/>
      <c r="E63" s="191">
        <f t="shared" si="43"/>
        <v>0</v>
      </c>
      <c r="F63" s="189">
        <v>25</v>
      </c>
      <c r="G63" s="190">
        <v>1000</v>
      </c>
      <c r="H63" s="191">
        <f t="shared" si="44"/>
        <v>1025</v>
      </c>
      <c r="I63" s="189">
        <v>250</v>
      </c>
      <c r="J63" s="190">
        <v>1600</v>
      </c>
      <c r="K63" s="191">
        <f t="shared" si="45"/>
        <v>1850</v>
      </c>
      <c r="L63" s="209">
        <f t="shared" si="46"/>
        <v>2875</v>
      </c>
      <c r="M63" s="189">
        <v>1400</v>
      </c>
      <c r="N63" s="190">
        <v>1300</v>
      </c>
      <c r="O63" s="191">
        <f t="shared" si="47"/>
        <v>2700</v>
      </c>
      <c r="P63" s="189">
        <v>1400</v>
      </c>
      <c r="Q63" s="190">
        <v>1000</v>
      </c>
      <c r="R63" s="191">
        <f t="shared" si="48"/>
        <v>2400</v>
      </c>
      <c r="S63" s="189">
        <v>1400</v>
      </c>
      <c r="T63" s="190">
        <v>100</v>
      </c>
      <c r="U63" s="191">
        <f t="shared" si="49"/>
        <v>1500</v>
      </c>
      <c r="V63" s="209">
        <f t="shared" si="50"/>
        <v>6600</v>
      </c>
      <c r="W63" s="189">
        <v>1400</v>
      </c>
      <c r="X63" s="190">
        <v>130</v>
      </c>
      <c r="Y63" s="191">
        <f t="shared" si="51"/>
        <v>1530</v>
      </c>
      <c r="Z63" s="189">
        <v>1400</v>
      </c>
      <c r="AA63" s="190"/>
      <c r="AB63" s="191">
        <f t="shared" si="52"/>
        <v>1400</v>
      </c>
      <c r="AC63" s="189">
        <v>1400</v>
      </c>
      <c r="AD63" s="190"/>
      <c r="AE63" s="191">
        <f t="shared" si="53"/>
        <v>1400</v>
      </c>
      <c r="AF63" s="209">
        <f t="shared" si="54"/>
        <v>4330</v>
      </c>
      <c r="AG63" s="189">
        <v>1900</v>
      </c>
      <c r="AH63" s="190"/>
      <c r="AI63" s="191">
        <f t="shared" si="55"/>
        <v>1900</v>
      </c>
      <c r="AJ63" s="189">
        <v>1900</v>
      </c>
      <c r="AK63" s="190"/>
      <c r="AL63" s="191">
        <f t="shared" si="56"/>
        <v>1900</v>
      </c>
      <c r="AM63" s="189">
        <v>1900</v>
      </c>
      <c r="AN63" s="190"/>
      <c r="AO63" s="191">
        <f t="shared" si="57"/>
        <v>1900</v>
      </c>
      <c r="AP63" s="209">
        <f t="shared" si="58"/>
        <v>5700</v>
      </c>
      <c r="AQ63" s="142">
        <f t="shared" si="59"/>
        <v>14375</v>
      </c>
      <c r="AR63" s="142">
        <f t="shared" si="59"/>
        <v>5130</v>
      </c>
      <c r="AS63" s="142">
        <f t="shared" si="17"/>
        <v>19505</v>
      </c>
    </row>
    <row r="64" spans="1:45" x14ac:dyDescent="0.25">
      <c r="A64" s="11" t="s">
        <v>435</v>
      </c>
      <c r="B64" s="149" t="s">
        <v>436</v>
      </c>
      <c r="C64" s="189"/>
      <c r="D64" s="190"/>
      <c r="E64" s="191">
        <f t="shared" si="43"/>
        <v>0</v>
      </c>
      <c r="F64" s="189"/>
      <c r="G64" s="190"/>
      <c r="H64" s="191">
        <f t="shared" si="44"/>
        <v>0</v>
      </c>
      <c r="I64" s="189"/>
      <c r="J64" s="190"/>
      <c r="K64" s="191">
        <f t="shared" si="45"/>
        <v>0</v>
      </c>
      <c r="L64" s="209">
        <f t="shared" si="46"/>
        <v>0</v>
      </c>
      <c r="M64" s="189"/>
      <c r="N64" s="190"/>
      <c r="O64" s="191">
        <f t="shared" si="47"/>
        <v>0</v>
      </c>
      <c r="P64" s="189"/>
      <c r="Q64" s="190"/>
      <c r="R64" s="191">
        <f t="shared" si="48"/>
        <v>0</v>
      </c>
      <c r="S64" s="189"/>
      <c r="T64" s="190"/>
      <c r="U64" s="191">
        <f t="shared" si="49"/>
        <v>0</v>
      </c>
      <c r="V64" s="209">
        <f t="shared" si="50"/>
        <v>0</v>
      </c>
      <c r="W64" s="189"/>
      <c r="X64" s="190"/>
      <c r="Y64" s="191">
        <f t="shared" si="51"/>
        <v>0</v>
      </c>
      <c r="Z64" s="189"/>
      <c r="AA64" s="190"/>
      <c r="AB64" s="191">
        <f t="shared" si="52"/>
        <v>0</v>
      </c>
      <c r="AC64" s="189"/>
      <c r="AD64" s="190"/>
      <c r="AE64" s="191">
        <f t="shared" si="53"/>
        <v>0</v>
      </c>
      <c r="AF64" s="209">
        <f t="shared" si="54"/>
        <v>0</v>
      </c>
      <c r="AG64" s="189"/>
      <c r="AH64" s="190"/>
      <c r="AI64" s="191">
        <f t="shared" si="55"/>
        <v>0</v>
      </c>
      <c r="AJ64" s="189"/>
      <c r="AK64" s="190"/>
      <c r="AL64" s="191">
        <f t="shared" si="56"/>
        <v>0</v>
      </c>
      <c r="AM64" s="189"/>
      <c r="AN64" s="190"/>
      <c r="AO64" s="191">
        <f t="shared" si="57"/>
        <v>0</v>
      </c>
      <c r="AP64" s="209">
        <f t="shared" si="58"/>
        <v>0</v>
      </c>
      <c r="AQ64" s="142">
        <f t="shared" si="59"/>
        <v>0</v>
      </c>
      <c r="AR64" s="142">
        <f t="shared" si="59"/>
        <v>0</v>
      </c>
      <c r="AS64" s="142">
        <f t="shared" si="17"/>
        <v>0</v>
      </c>
    </row>
    <row r="65" spans="1:45" x14ac:dyDescent="0.25">
      <c r="A65" s="11" t="s">
        <v>437</v>
      </c>
      <c r="B65" s="164" t="s">
        <v>438</v>
      </c>
      <c r="C65" s="189"/>
      <c r="D65" s="190">
        <v>161</v>
      </c>
      <c r="E65" s="191">
        <f t="shared" si="43"/>
        <v>161</v>
      </c>
      <c r="F65" s="189">
        <v>100</v>
      </c>
      <c r="G65" s="190">
        <v>200</v>
      </c>
      <c r="H65" s="191">
        <f t="shared" si="44"/>
        <v>300</v>
      </c>
      <c r="I65" s="189">
        <v>100</v>
      </c>
      <c r="J65" s="190">
        <v>200</v>
      </c>
      <c r="K65" s="191">
        <f t="shared" si="45"/>
        <v>300</v>
      </c>
      <c r="L65" s="209">
        <f t="shared" si="46"/>
        <v>761</v>
      </c>
      <c r="M65" s="189">
        <v>100</v>
      </c>
      <c r="N65" s="190">
        <v>300</v>
      </c>
      <c r="O65" s="191">
        <f t="shared" si="47"/>
        <v>400</v>
      </c>
      <c r="P65" s="189">
        <v>150</v>
      </c>
      <c r="Q65" s="190">
        <v>300</v>
      </c>
      <c r="R65" s="191">
        <f t="shared" si="48"/>
        <v>450</v>
      </c>
      <c r="S65" s="189">
        <v>150</v>
      </c>
      <c r="T65" s="190">
        <v>300</v>
      </c>
      <c r="U65" s="191">
        <f t="shared" si="49"/>
        <v>450</v>
      </c>
      <c r="V65" s="209">
        <f t="shared" si="50"/>
        <v>1300</v>
      </c>
      <c r="W65" s="189">
        <v>100</v>
      </c>
      <c r="X65" s="190">
        <v>200</v>
      </c>
      <c r="Y65" s="191">
        <f t="shared" si="51"/>
        <v>300</v>
      </c>
      <c r="Z65" s="189">
        <v>100</v>
      </c>
      <c r="AA65" s="190">
        <v>200</v>
      </c>
      <c r="AB65" s="191">
        <f t="shared" si="52"/>
        <v>300</v>
      </c>
      <c r="AC65" s="189">
        <v>100</v>
      </c>
      <c r="AD65" s="190">
        <v>100</v>
      </c>
      <c r="AE65" s="191">
        <f t="shared" si="53"/>
        <v>200</v>
      </c>
      <c r="AF65" s="209">
        <f t="shared" si="54"/>
        <v>800</v>
      </c>
      <c r="AG65" s="189">
        <v>150</v>
      </c>
      <c r="AH65" s="190">
        <v>100</v>
      </c>
      <c r="AI65" s="191">
        <f t="shared" si="55"/>
        <v>250</v>
      </c>
      <c r="AJ65" s="189">
        <v>100</v>
      </c>
      <c r="AK65" s="190"/>
      <c r="AL65" s="191">
        <f t="shared" si="56"/>
        <v>100</v>
      </c>
      <c r="AM65" s="189">
        <v>100</v>
      </c>
      <c r="AN65" s="190"/>
      <c r="AO65" s="191">
        <f t="shared" si="57"/>
        <v>100</v>
      </c>
      <c r="AP65" s="209">
        <f t="shared" si="58"/>
        <v>450</v>
      </c>
      <c r="AQ65" s="142">
        <f t="shared" si="59"/>
        <v>1250</v>
      </c>
      <c r="AR65" s="142">
        <f t="shared" si="59"/>
        <v>2061</v>
      </c>
      <c r="AS65" s="142">
        <f t="shared" si="17"/>
        <v>3311</v>
      </c>
    </row>
    <row r="66" spans="1:45" x14ac:dyDescent="0.25">
      <c r="A66" s="11" t="s">
        <v>439</v>
      </c>
      <c r="B66" s="149" t="s">
        <v>440</v>
      </c>
      <c r="C66" s="189"/>
      <c r="D66" s="190"/>
      <c r="E66" s="191">
        <f t="shared" si="43"/>
        <v>0</v>
      </c>
      <c r="F66" s="189"/>
      <c r="G66" s="190"/>
      <c r="H66" s="191">
        <f t="shared" si="44"/>
        <v>0</v>
      </c>
      <c r="I66" s="189"/>
      <c r="J66" s="190"/>
      <c r="K66" s="191">
        <f t="shared" si="45"/>
        <v>0</v>
      </c>
      <c r="L66" s="209">
        <f t="shared" si="46"/>
        <v>0</v>
      </c>
      <c r="M66" s="189"/>
      <c r="N66" s="190"/>
      <c r="O66" s="191">
        <f t="shared" si="47"/>
        <v>0</v>
      </c>
      <c r="P66" s="189"/>
      <c r="Q66" s="190"/>
      <c r="R66" s="191">
        <f t="shared" si="48"/>
        <v>0</v>
      </c>
      <c r="S66" s="189"/>
      <c r="T66" s="190"/>
      <c r="U66" s="191">
        <f t="shared" si="49"/>
        <v>0</v>
      </c>
      <c r="V66" s="209">
        <f t="shared" si="50"/>
        <v>0</v>
      </c>
      <c r="W66" s="189"/>
      <c r="X66" s="190"/>
      <c r="Y66" s="191">
        <f t="shared" si="51"/>
        <v>0</v>
      </c>
      <c r="Z66" s="189"/>
      <c r="AA66" s="190"/>
      <c r="AB66" s="191">
        <f t="shared" si="52"/>
        <v>0</v>
      </c>
      <c r="AC66" s="189"/>
      <c r="AD66" s="190"/>
      <c r="AE66" s="191">
        <f t="shared" si="53"/>
        <v>0</v>
      </c>
      <c r="AF66" s="209">
        <f t="shared" si="54"/>
        <v>0</v>
      </c>
      <c r="AG66" s="189"/>
      <c r="AH66" s="190"/>
      <c r="AI66" s="191">
        <f t="shared" si="55"/>
        <v>0</v>
      </c>
      <c r="AJ66" s="189"/>
      <c r="AK66" s="190"/>
      <c r="AL66" s="191">
        <f t="shared" si="56"/>
        <v>0</v>
      </c>
      <c r="AM66" s="189"/>
      <c r="AN66" s="190"/>
      <c r="AO66" s="191">
        <f t="shared" si="57"/>
        <v>0</v>
      </c>
      <c r="AP66" s="209">
        <f t="shared" si="58"/>
        <v>0</v>
      </c>
      <c r="AQ66" s="142">
        <f t="shared" si="59"/>
        <v>0</v>
      </c>
      <c r="AR66" s="142">
        <f t="shared" si="59"/>
        <v>0</v>
      </c>
      <c r="AS66" s="142">
        <f t="shared" si="17"/>
        <v>0</v>
      </c>
    </row>
    <row r="67" spans="1:45" x14ac:dyDescent="0.25">
      <c r="A67" s="11" t="s">
        <v>441</v>
      </c>
      <c r="B67" s="149" t="s">
        <v>442</v>
      </c>
      <c r="C67" s="189"/>
      <c r="D67" s="190">
        <v>28</v>
      </c>
      <c r="E67" s="191">
        <f t="shared" si="43"/>
        <v>28</v>
      </c>
      <c r="F67" s="189">
        <v>200</v>
      </c>
      <c r="G67" s="190">
        <v>100</v>
      </c>
      <c r="H67" s="191">
        <f t="shared" si="44"/>
        <v>300</v>
      </c>
      <c r="I67" s="189">
        <v>200</v>
      </c>
      <c r="J67" s="190">
        <v>100</v>
      </c>
      <c r="K67" s="191">
        <f t="shared" si="45"/>
        <v>300</v>
      </c>
      <c r="L67" s="209">
        <f t="shared" si="46"/>
        <v>628</v>
      </c>
      <c r="M67" s="189">
        <v>300</v>
      </c>
      <c r="N67" s="190">
        <v>50</v>
      </c>
      <c r="O67" s="191">
        <f t="shared" si="47"/>
        <v>350</v>
      </c>
      <c r="P67" s="189">
        <v>300</v>
      </c>
      <c r="Q67" s="190">
        <v>50</v>
      </c>
      <c r="R67" s="191">
        <f t="shared" si="48"/>
        <v>350</v>
      </c>
      <c r="S67" s="189">
        <v>300</v>
      </c>
      <c r="T67" s="190">
        <v>50</v>
      </c>
      <c r="U67" s="191">
        <f t="shared" si="49"/>
        <v>350</v>
      </c>
      <c r="V67" s="209">
        <f t="shared" si="50"/>
        <v>1050</v>
      </c>
      <c r="W67" s="189">
        <v>300</v>
      </c>
      <c r="X67" s="190">
        <v>50</v>
      </c>
      <c r="Y67" s="191">
        <f t="shared" si="51"/>
        <v>350</v>
      </c>
      <c r="Z67" s="189">
        <v>300</v>
      </c>
      <c r="AA67" s="190"/>
      <c r="AB67" s="191">
        <f t="shared" si="52"/>
        <v>300</v>
      </c>
      <c r="AC67" s="189">
        <v>300</v>
      </c>
      <c r="AD67" s="190"/>
      <c r="AE67" s="191">
        <f t="shared" si="53"/>
        <v>300</v>
      </c>
      <c r="AF67" s="209">
        <f t="shared" si="54"/>
        <v>950</v>
      </c>
      <c r="AG67" s="189">
        <v>100</v>
      </c>
      <c r="AH67" s="190"/>
      <c r="AI67" s="191">
        <f t="shared" si="55"/>
        <v>100</v>
      </c>
      <c r="AJ67" s="189">
        <v>100</v>
      </c>
      <c r="AK67" s="190"/>
      <c r="AL67" s="191">
        <f t="shared" si="56"/>
        <v>100</v>
      </c>
      <c r="AM67" s="189">
        <v>100</v>
      </c>
      <c r="AN67" s="190"/>
      <c r="AO67" s="191">
        <f t="shared" si="57"/>
        <v>100</v>
      </c>
      <c r="AP67" s="209">
        <f t="shared" si="58"/>
        <v>300</v>
      </c>
      <c r="AQ67" s="142">
        <f t="shared" si="59"/>
        <v>2500</v>
      </c>
      <c r="AR67" s="142">
        <f t="shared" si="59"/>
        <v>428</v>
      </c>
      <c r="AS67" s="142">
        <f t="shared" si="17"/>
        <v>2928</v>
      </c>
    </row>
    <row r="68" spans="1:45" x14ac:dyDescent="0.25">
      <c r="A68" s="11" t="s">
        <v>443</v>
      </c>
      <c r="B68" s="149" t="s">
        <v>444</v>
      </c>
      <c r="C68" s="189"/>
      <c r="D68" s="190"/>
      <c r="E68" s="191">
        <f t="shared" si="43"/>
        <v>0</v>
      </c>
      <c r="F68" s="189"/>
      <c r="G68" s="190"/>
      <c r="H68" s="191">
        <f t="shared" si="44"/>
        <v>0</v>
      </c>
      <c r="I68" s="189"/>
      <c r="J68" s="190"/>
      <c r="K68" s="191">
        <f t="shared" si="45"/>
        <v>0</v>
      </c>
      <c r="L68" s="209">
        <f t="shared" si="46"/>
        <v>0</v>
      </c>
      <c r="M68" s="189"/>
      <c r="N68" s="190"/>
      <c r="O68" s="191">
        <f t="shared" si="47"/>
        <v>0</v>
      </c>
      <c r="P68" s="189"/>
      <c r="Q68" s="190"/>
      <c r="R68" s="191">
        <f t="shared" si="48"/>
        <v>0</v>
      </c>
      <c r="S68" s="189"/>
      <c r="T68" s="190"/>
      <c r="U68" s="191">
        <f t="shared" si="49"/>
        <v>0</v>
      </c>
      <c r="V68" s="209">
        <f t="shared" si="50"/>
        <v>0</v>
      </c>
      <c r="W68" s="189"/>
      <c r="X68" s="190"/>
      <c r="Y68" s="191">
        <f t="shared" si="51"/>
        <v>0</v>
      </c>
      <c r="Z68" s="189"/>
      <c r="AA68" s="190"/>
      <c r="AB68" s="191">
        <f t="shared" si="52"/>
        <v>0</v>
      </c>
      <c r="AC68" s="189"/>
      <c r="AD68" s="190"/>
      <c r="AE68" s="191">
        <f t="shared" si="53"/>
        <v>0</v>
      </c>
      <c r="AF68" s="209">
        <f t="shared" si="54"/>
        <v>0</v>
      </c>
      <c r="AG68" s="189"/>
      <c r="AH68" s="190"/>
      <c r="AI68" s="191">
        <f t="shared" si="55"/>
        <v>0</v>
      </c>
      <c r="AJ68" s="189"/>
      <c r="AK68" s="190"/>
      <c r="AL68" s="191">
        <f t="shared" si="56"/>
        <v>0</v>
      </c>
      <c r="AM68" s="189"/>
      <c r="AN68" s="190"/>
      <c r="AO68" s="191">
        <f t="shared" si="57"/>
        <v>0</v>
      </c>
      <c r="AP68" s="209">
        <f t="shared" si="58"/>
        <v>0</v>
      </c>
      <c r="AQ68" s="142">
        <f t="shared" si="59"/>
        <v>0</v>
      </c>
      <c r="AR68" s="142">
        <f t="shared" si="59"/>
        <v>0</v>
      </c>
      <c r="AS68" s="142">
        <f t="shared" si="17"/>
        <v>0</v>
      </c>
    </row>
    <row r="69" spans="1:45" x14ac:dyDescent="0.25">
      <c r="A69" s="11" t="s">
        <v>445</v>
      </c>
      <c r="B69" s="149" t="s">
        <v>446</v>
      </c>
      <c r="C69" s="189"/>
      <c r="D69" s="190"/>
      <c r="E69" s="191">
        <f t="shared" si="43"/>
        <v>0</v>
      </c>
      <c r="F69" s="189"/>
      <c r="G69" s="190"/>
      <c r="H69" s="191">
        <f t="shared" si="44"/>
        <v>0</v>
      </c>
      <c r="I69" s="189"/>
      <c r="J69" s="190"/>
      <c r="K69" s="191">
        <f t="shared" si="45"/>
        <v>0</v>
      </c>
      <c r="L69" s="209">
        <f t="shared" si="46"/>
        <v>0</v>
      </c>
      <c r="M69" s="189"/>
      <c r="N69" s="190"/>
      <c r="O69" s="191">
        <f t="shared" si="47"/>
        <v>0</v>
      </c>
      <c r="P69" s="189"/>
      <c r="Q69" s="190"/>
      <c r="R69" s="191">
        <f t="shared" si="48"/>
        <v>0</v>
      </c>
      <c r="S69" s="189"/>
      <c r="T69" s="190"/>
      <c r="U69" s="191">
        <f t="shared" si="49"/>
        <v>0</v>
      </c>
      <c r="V69" s="209">
        <f t="shared" si="50"/>
        <v>0</v>
      </c>
      <c r="W69" s="189"/>
      <c r="X69" s="190"/>
      <c r="Y69" s="191">
        <f t="shared" si="51"/>
        <v>0</v>
      </c>
      <c r="Z69" s="189"/>
      <c r="AA69" s="190"/>
      <c r="AB69" s="191">
        <f t="shared" si="52"/>
        <v>0</v>
      </c>
      <c r="AC69" s="189"/>
      <c r="AD69" s="190"/>
      <c r="AE69" s="191">
        <f t="shared" si="53"/>
        <v>0</v>
      </c>
      <c r="AF69" s="209">
        <f t="shared" si="54"/>
        <v>0</v>
      </c>
      <c r="AG69" s="189"/>
      <c r="AH69" s="190"/>
      <c r="AI69" s="191">
        <f t="shared" si="55"/>
        <v>0</v>
      </c>
      <c r="AJ69" s="189"/>
      <c r="AK69" s="190"/>
      <c r="AL69" s="191">
        <f t="shared" si="56"/>
        <v>0</v>
      </c>
      <c r="AM69" s="189"/>
      <c r="AN69" s="190"/>
      <c r="AO69" s="191">
        <f t="shared" si="57"/>
        <v>0</v>
      </c>
      <c r="AP69" s="209">
        <f t="shared" si="58"/>
        <v>0</v>
      </c>
      <c r="AQ69" s="142">
        <f t="shared" si="59"/>
        <v>0</v>
      </c>
      <c r="AR69" s="142">
        <f t="shared" si="59"/>
        <v>0</v>
      </c>
      <c r="AS69" s="142">
        <f t="shared" si="17"/>
        <v>0</v>
      </c>
    </row>
    <row r="70" spans="1:45" x14ac:dyDescent="0.25">
      <c r="A70" s="11" t="s">
        <v>447</v>
      </c>
      <c r="B70" s="154" t="s">
        <v>448</v>
      </c>
      <c r="C70" s="192"/>
      <c r="D70" s="193"/>
      <c r="E70" s="194">
        <f t="shared" si="43"/>
        <v>0</v>
      </c>
      <c r="F70" s="192"/>
      <c r="G70" s="193"/>
      <c r="H70" s="194">
        <f t="shared" si="44"/>
        <v>0</v>
      </c>
      <c r="I70" s="192"/>
      <c r="J70" s="193"/>
      <c r="K70" s="194">
        <f t="shared" si="45"/>
        <v>0</v>
      </c>
      <c r="L70" s="211">
        <f t="shared" si="46"/>
        <v>0</v>
      </c>
      <c r="M70" s="192"/>
      <c r="N70" s="193"/>
      <c r="O70" s="194">
        <f t="shared" si="47"/>
        <v>0</v>
      </c>
      <c r="P70" s="192"/>
      <c r="Q70" s="193"/>
      <c r="R70" s="194">
        <f t="shared" si="48"/>
        <v>0</v>
      </c>
      <c r="S70" s="192"/>
      <c r="T70" s="193"/>
      <c r="U70" s="194">
        <f t="shared" si="49"/>
        <v>0</v>
      </c>
      <c r="V70" s="211">
        <f t="shared" si="50"/>
        <v>0</v>
      </c>
      <c r="W70" s="192"/>
      <c r="X70" s="193"/>
      <c r="Y70" s="194">
        <f t="shared" si="51"/>
        <v>0</v>
      </c>
      <c r="Z70" s="192"/>
      <c r="AA70" s="193"/>
      <c r="AB70" s="194">
        <f t="shared" si="52"/>
        <v>0</v>
      </c>
      <c r="AC70" s="192"/>
      <c r="AD70" s="193"/>
      <c r="AE70" s="194">
        <f t="shared" si="53"/>
        <v>0</v>
      </c>
      <c r="AF70" s="211">
        <f t="shared" si="54"/>
        <v>0</v>
      </c>
      <c r="AG70" s="192"/>
      <c r="AH70" s="193"/>
      <c r="AI70" s="194">
        <f t="shared" si="55"/>
        <v>0</v>
      </c>
      <c r="AJ70" s="192"/>
      <c r="AK70" s="193"/>
      <c r="AL70" s="194">
        <f t="shared" si="56"/>
        <v>0</v>
      </c>
      <c r="AM70" s="192"/>
      <c r="AN70" s="193"/>
      <c r="AO70" s="194">
        <f t="shared" si="57"/>
        <v>0</v>
      </c>
      <c r="AP70" s="211">
        <f t="shared" si="58"/>
        <v>0</v>
      </c>
      <c r="AQ70" s="155">
        <f t="shared" si="59"/>
        <v>0</v>
      </c>
      <c r="AR70" s="155">
        <f t="shared" si="59"/>
        <v>0</v>
      </c>
      <c r="AS70" s="155">
        <f t="shared" si="17"/>
        <v>0</v>
      </c>
    </row>
    <row r="71" spans="1:45" x14ac:dyDescent="0.25">
      <c r="B71" s="167" t="s">
        <v>449</v>
      </c>
      <c r="C71" s="167"/>
      <c r="D71" s="168"/>
      <c r="E71" s="168"/>
      <c r="F71" s="167"/>
      <c r="G71" s="168"/>
      <c r="H71" s="168"/>
      <c r="I71" s="167"/>
      <c r="J71" s="168"/>
      <c r="K71" s="168"/>
      <c r="L71" s="168"/>
      <c r="M71" s="167"/>
      <c r="N71" s="168"/>
      <c r="O71" s="168"/>
      <c r="P71" s="167"/>
      <c r="Q71" s="168"/>
      <c r="R71" s="168"/>
      <c r="S71" s="167"/>
      <c r="T71" s="168"/>
      <c r="U71" s="168"/>
      <c r="V71" s="168"/>
      <c r="W71" s="167"/>
      <c r="X71" s="168"/>
      <c r="Y71" s="168"/>
      <c r="Z71" s="167"/>
      <c r="AA71" s="168"/>
      <c r="AB71" s="168"/>
      <c r="AC71" s="167"/>
      <c r="AD71" s="168"/>
      <c r="AE71" s="168"/>
      <c r="AF71" s="168"/>
      <c r="AG71" s="167"/>
      <c r="AH71" s="168"/>
      <c r="AI71" s="168"/>
      <c r="AJ71" s="167"/>
      <c r="AK71" s="168"/>
      <c r="AL71" s="168"/>
      <c r="AM71" s="167"/>
      <c r="AN71" s="168"/>
      <c r="AO71" s="168"/>
      <c r="AP71" s="168"/>
      <c r="AQ71" s="168"/>
      <c r="AR71" s="168"/>
      <c r="AS71" s="169"/>
    </row>
    <row r="72" spans="1:45" x14ac:dyDescent="0.25">
      <c r="A72" s="11" t="s">
        <v>450</v>
      </c>
      <c r="B72" s="165" t="s">
        <v>451</v>
      </c>
      <c r="C72" s="198"/>
      <c r="D72" s="199"/>
      <c r="E72" s="200">
        <f>SUM(C72:D72)</f>
        <v>0</v>
      </c>
      <c r="F72" s="198"/>
      <c r="G72" s="199"/>
      <c r="H72" s="200">
        <f>SUM(F72:G72)</f>
        <v>0</v>
      </c>
      <c r="I72" s="198"/>
      <c r="J72" s="199"/>
      <c r="K72" s="200">
        <f>SUM(I72:J72)</f>
        <v>0</v>
      </c>
      <c r="L72" s="212">
        <f>SUM(E72,H72,K72)</f>
        <v>0</v>
      </c>
      <c r="M72" s="198"/>
      <c r="N72" s="199"/>
      <c r="O72" s="200">
        <f>SUM(M72:N72)</f>
        <v>0</v>
      </c>
      <c r="P72" s="198"/>
      <c r="Q72" s="199"/>
      <c r="R72" s="200">
        <f>SUM(P72:Q72)</f>
        <v>0</v>
      </c>
      <c r="S72" s="198"/>
      <c r="T72" s="199"/>
      <c r="U72" s="200">
        <f>SUM(S72:T72)</f>
        <v>0</v>
      </c>
      <c r="V72" s="212">
        <f>SUM(O72,R72,U72)</f>
        <v>0</v>
      </c>
      <c r="W72" s="198"/>
      <c r="X72" s="199"/>
      <c r="Y72" s="200">
        <f>SUM(W72:X72)</f>
        <v>0</v>
      </c>
      <c r="Z72" s="198"/>
      <c r="AA72" s="199"/>
      <c r="AB72" s="200">
        <f>SUM(Z72:AA72)</f>
        <v>0</v>
      </c>
      <c r="AC72" s="198"/>
      <c r="AD72" s="199"/>
      <c r="AE72" s="200">
        <f>SUM(AC72:AD72)</f>
        <v>0</v>
      </c>
      <c r="AF72" s="212">
        <f>SUM(Y72,AB72,AE72)</f>
        <v>0</v>
      </c>
      <c r="AG72" s="198"/>
      <c r="AH72" s="199"/>
      <c r="AI72" s="200">
        <f>SUM(AG72:AH72)</f>
        <v>0</v>
      </c>
      <c r="AJ72" s="198"/>
      <c r="AK72" s="199"/>
      <c r="AL72" s="200">
        <f>SUM(AJ72:AK72)</f>
        <v>0</v>
      </c>
      <c r="AM72" s="198"/>
      <c r="AN72" s="199"/>
      <c r="AO72" s="200">
        <f>SUM(AM72:AN72)</f>
        <v>0</v>
      </c>
      <c r="AP72" s="212">
        <f>SUM(AI72,AL72,AO72)</f>
        <v>0</v>
      </c>
      <c r="AQ72" s="138">
        <f>C72+F72+I72+M72+P72+S72+W72+Z72+AC72+AG72+AJ72+AM72</f>
        <v>0</v>
      </c>
      <c r="AR72" s="138">
        <f>D72+G72+J72+N72+Q72+T72+X72+AA72+AD72+AH72+AK72+AN72</f>
        <v>0</v>
      </c>
      <c r="AS72" s="138">
        <f t="shared" si="17"/>
        <v>0</v>
      </c>
    </row>
    <row r="73" spans="1:45" x14ac:dyDescent="0.25">
      <c r="A73" s="11" t="s">
        <v>452</v>
      </c>
      <c r="B73" s="166" t="s">
        <v>453</v>
      </c>
      <c r="C73" s="192"/>
      <c r="D73" s="193">
        <v>99</v>
      </c>
      <c r="E73" s="194">
        <f>SUM(C73:D73)</f>
        <v>99</v>
      </c>
      <c r="F73" s="192">
        <v>386</v>
      </c>
      <c r="G73" s="193">
        <v>150</v>
      </c>
      <c r="H73" s="194">
        <f>SUM(F73:G73)</f>
        <v>536</v>
      </c>
      <c r="I73" s="192">
        <v>386</v>
      </c>
      <c r="J73" s="193">
        <v>150</v>
      </c>
      <c r="K73" s="194">
        <f>SUM(I73:J73)</f>
        <v>536</v>
      </c>
      <c r="L73" s="211">
        <f>SUM(E73,H73,K73)</f>
        <v>1171</v>
      </c>
      <c r="M73" s="192">
        <v>386</v>
      </c>
      <c r="N73" s="193">
        <v>150</v>
      </c>
      <c r="O73" s="194">
        <f>SUM(M73:N73)</f>
        <v>536</v>
      </c>
      <c r="P73" s="192">
        <v>386</v>
      </c>
      <c r="Q73" s="193">
        <v>100</v>
      </c>
      <c r="R73" s="194">
        <f>SUM(P73:Q73)</f>
        <v>486</v>
      </c>
      <c r="S73" s="192">
        <v>386</v>
      </c>
      <c r="T73" s="193">
        <v>100</v>
      </c>
      <c r="U73" s="194">
        <f>SUM(S73:T73)</f>
        <v>486</v>
      </c>
      <c r="V73" s="211">
        <f>SUM(O73,R73,U73)</f>
        <v>1508</v>
      </c>
      <c r="W73" s="192">
        <v>386</v>
      </c>
      <c r="X73" s="193"/>
      <c r="Y73" s="194">
        <f>SUM(W73:X73)</f>
        <v>386</v>
      </c>
      <c r="Z73" s="192">
        <v>386</v>
      </c>
      <c r="AA73" s="193"/>
      <c r="AB73" s="194">
        <f>SUM(Z73:AA73)</f>
        <v>386</v>
      </c>
      <c r="AC73" s="192">
        <v>386</v>
      </c>
      <c r="AD73" s="193"/>
      <c r="AE73" s="194">
        <f>SUM(AC73:AD73)</f>
        <v>386</v>
      </c>
      <c r="AF73" s="211">
        <f>SUM(Y73,AB73,AE73)</f>
        <v>1158</v>
      </c>
      <c r="AG73" s="192">
        <v>386</v>
      </c>
      <c r="AH73" s="193"/>
      <c r="AI73" s="194">
        <f>SUM(AG73:AH73)</f>
        <v>386</v>
      </c>
      <c r="AJ73" s="192">
        <v>386</v>
      </c>
      <c r="AK73" s="193"/>
      <c r="AL73" s="194">
        <f>SUM(AJ73:AK73)</f>
        <v>386</v>
      </c>
      <c r="AM73" s="192">
        <v>386</v>
      </c>
      <c r="AN73" s="193"/>
      <c r="AO73" s="194">
        <f>SUM(AM73:AN73)</f>
        <v>386</v>
      </c>
      <c r="AP73" s="211">
        <f>SUM(AI73,AL73,AO73)</f>
        <v>1158</v>
      </c>
      <c r="AQ73" s="155">
        <f>C73+F73+I73+M73+P73+S73+W73+Z73+AC73+AG73+AJ73+AM73</f>
        <v>4246</v>
      </c>
      <c r="AR73" s="155">
        <f>D73+G73+J73+N73+Q73+T73+X73+AA73+AD73+AH73+AK73+AN73</f>
        <v>749</v>
      </c>
      <c r="AS73" s="155">
        <f t="shared" si="17"/>
        <v>4995</v>
      </c>
    </row>
    <row r="74" spans="1:45" x14ac:dyDescent="0.25">
      <c r="B74" s="167" t="s">
        <v>454</v>
      </c>
      <c r="C74" s="167"/>
      <c r="D74" s="168"/>
      <c r="E74" s="168"/>
      <c r="F74" s="167"/>
      <c r="G74" s="168"/>
      <c r="H74" s="168"/>
      <c r="I74" s="167"/>
      <c r="J74" s="168"/>
      <c r="K74" s="168"/>
      <c r="L74" s="168"/>
      <c r="M74" s="167"/>
      <c r="N74" s="168"/>
      <c r="O74" s="168"/>
      <c r="P74" s="167"/>
      <c r="Q74" s="168"/>
      <c r="R74" s="168"/>
      <c r="S74" s="167"/>
      <c r="T74" s="168"/>
      <c r="U74" s="168"/>
      <c r="V74" s="168"/>
      <c r="W74" s="167"/>
      <c r="X74" s="168"/>
      <c r="Y74" s="168"/>
      <c r="Z74" s="167"/>
      <c r="AA74" s="168"/>
      <c r="AB74" s="168"/>
      <c r="AC74" s="167"/>
      <c r="AD74" s="168"/>
      <c r="AE74" s="168"/>
      <c r="AF74" s="168"/>
      <c r="AG74" s="167"/>
      <c r="AH74" s="168"/>
      <c r="AI74" s="168"/>
      <c r="AJ74" s="167"/>
      <c r="AK74" s="168"/>
      <c r="AL74" s="168"/>
      <c r="AM74" s="167"/>
      <c r="AN74" s="168"/>
      <c r="AO74" s="168"/>
      <c r="AP74" s="168"/>
      <c r="AQ74" s="168"/>
      <c r="AR74" s="168"/>
      <c r="AS74" s="169"/>
    </row>
    <row r="75" spans="1:45" x14ac:dyDescent="0.25">
      <c r="A75" s="11" t="s">
        <v>455</v>
      </c>
      <c r="B75" s="13" t="s">
        <v>456</v>
      </c>
      <c r="C75" s="201"/>
      <c r="D75" s="202"/>
      <c r="E75" s="203">
        <f>SUM(C75:D75)</f>
        <v>0</v>
      </c>
      <c r="F75" s="201"/>
      <c r="G75" s="202"/>
      <c r="H75" s="203">
        <f>SUM(F75:G75)</f>
        <v>0</v>
      </c>
      <c r="I75" s="201"/>
      <c r="J75" s="202"/>
      <c r="K75" s="203">
        <f>SUM(I75:J75)</f>
        <v>0</v>
      </c>
      <c r="L75" s="208">
        <f>SUM(E75,H75,K75)</f>
        <v>0</v>
      </c>
      <c r="M75" s="201"/>
      <c r="N75" s="202"/>
      <c r="O75" s="203">
        <f>SUM(M75:N75)</f>
        <v>0</v>
      </c>
      <c r="P75" s="201"/>
      <c r="Q75" s="202"/>
      <c r="R75" s="203">
        <f>SUM(P75:Q75)</f>
        <v>0</v>
      </c>
      <c r="S75" s="201"/>
      <c r="T75" s="202"/>
      <c r="U75" s="203">
        <f>SUM(S75:T75)</f>
        <v>0</v>
      </c>
      <c r="V75" s="208">
        <f>SUM(O75,R75,U75)</f>
        <v>0</v>
      </c>
      <c r="W75" s="201"/>
      <c r="X75" s="202"/>
      <c r="Y75" s="203">
        <f>SUM(W75:X75)</f>
        <v>0</v>
      </c>
      <c r="Z75" s="201"/>
      <c r="AA75" s="202"/>
      <c r="AB75" s="203">
        <f>SUM(Z75:AA75)</f>
        <v>0</v>
      </c>
      <c r="AC75" s="201"/>
      <c r="AD75" s="202"/>
      <c r="AE75" s="203">
        <f>SUM(AC75:AD75)</f>
        <v>0</v>
      </c>
      <c r="AF75" s="208">
        <f>SUM(Y75,AB75,AE75)</f>
        <v>0</v>
      </c>
      <c r="AG75" s="201"/>
      <c r="AH75" s="202"/>
      <c r="AI75" s="203">
        <f>SUM(AG75:AH75)</f>
        <v>0</v>
      </c>
      <c r="AJ75" s="201"/>
      <c r="AK75" s="202"/>
      <c r="AL75" s="203">
        <f>SUM(AJ75:AK75)</f>
        <v>0</v>
      </c>
      <c r="AM75" s="201"/>
      <c r="AN75" s="202"/>
      <c r="AO75" s="203">
        <f>SUM(AM75:AN75)</f>
        <v>0</v>
      </c>
      <c r="AP75" s="208">
        <f>SUM(AI75,AL75,AO75)</f>
        <v>0</v>
      </c>
      <c r="AQ75" s="15">
        <f>C75+F75+I75+M75+P75+S75+W75+Z75+AC75+AG75+AJ75+AM75</f>
        <v>0</v>
      </c>
      <c r="AR75" s="15">
        <f>D75+G75+J75+N75+Q75+T75+X75+AA75+AD75+AH75+AK75+AN75</f>
        <v>0</v>
      </c>
      <c r="AS75" s="15">
        <f t="shared" si="17"/>
        <v>0</v>
      </c>
    </row>
    <row r="76" spans="1:45" x14ac:dyDescent="0.25">
      <c r="A76" s="11" t="s">
        <v>457</v>
      </c>
      <c r="B76" s="403" t="s">
        <v>458</v>
      </c>
      <c r="C76" s="402">
        <f>SUM(C75,C72:C73,C55:C70)</f>
        <v>7053</v>
      </c>
      <c r="D76" s="402">
        <f t="shared" ref="D76:AS76" si="60">SUM(D75,D72:D73,D55:D70)</f>
        <v>9463</v>
      </c>
      <c r="E76" s="402">
        <f t="shared" si="60"/>
        <v>16516</v>
      </c>
      <c r="F76" s="402">
        <f t="shared" si="60"/>
        <v>21211</v>
      </c>
      <c r="G76" s="402">
        <f t="shared" si="60"/>
        <v>17400</v>
      </c>
      <c r="H76" s="402">
        <f t="shared" si="60"/>
        <v>38611</v>
      </c>
      <c r="I76" s="402">
        <f t="shared" si="60"/>
        <v>29074</v>
      </c>
      <c r="J76" s="402">
        <f t="shared" si="60"/>
        <v>15850</v>
      </c>
      <c r="K76" s="402">
        <f t="shared" si="60"/>
        <v>44924</v>
      </c>
      <c r="L76" s="402">
        <f t="shared" si="60"/>
        <v>100051</v>
      </c>
      <c r="M76" s="402">
        <f t="shared" si="60"/>
        <v>30324</v>
      </c>
      <c r="N76" s="402">
        <f t="shared" si="60"/>
        <v>10600</v>
      </c>
      <c r="O76" s="402">
        <f t="shared" si="60"/>
        <v>40924</v>
      </c>
      <c r="P76" s="402">
        <f t="shared" si="60"/>
        <v>30374</v>
      </c>
      <c r="Q76" s="402">
        <f t="shared" si="60"/>
        <v>9000</v>
      </c>
      <c r="R76" s="402">
        <f t="shared" si="60"/>
        <v>39374</v>
      </c>
      <c r="S76" s="402">
        <f t="shared" si="60"/>
        <v>30374</v>
      </c>
      <c r="T76" s="402">
        <f t="shared" si="60"/>
        <v>1550</v>
      </c>
      <c r="U76" s="402">
        <f t="shared" si="60"/>
        <v>31924</v>
      </c>
      <c r="V76" s="402">
        <f t="shared" si="60"/>
        <v>112222</v>
      </c>
      <c r="W76" s="402">
        <f t="shared" si="60"/>
        <v>30324</v>
      </c>
      <c r="X76" s="402">
        <f t="shared" si="60"/>
        <v>380</v>
      </c>
      <c r="Y76" s="402">
        <f t="shared" si="60"/>
        <v>30704</v>
      </c>
      <c r="Z76" s="402">
        <f t="shared" si="60"/>
        <v>30324</v>
      </c>
      <c r="AA76" s="402">
        <f t="shared" si="60"/>
        <v>200</v>
      </c>
      <c r="AB76" s="402">
        <f t="shared" si="60"/>
        <v>30524</v>
      </c>
      <c r="AC76" s="402">
        <f t="shared" si="60"/>
        <v>30324</v>
      </c>
      <c r="AD76" s="402">
        <f t="shared" si="60"/>
        <v>100</v>
      </c>
      <c r="AE76" s="402">
        <f t="shared" si="60"/>
        <v>30424</v>
      </c>
      <c r="AF76" s="402">
        <f t="shared" si="60"/>
        <v>91652</v>
      </c>
      <c r="AG76" s="402">
        <f t="shared" si="60"/>
        <v>30674</v>
      </c>
      <c r="AH76" s="402">
        <f t="shared" si="60"/>
        <v>100</v>
      </c>
      <c r="AI76" s="402">
        <f t="shared" si="60"/>
        <v>30774</v>
      </c>
      <c r="AJ76" s="402">
        <f t="shared" si="60"/>
        <v>30624</v>
      </c>
      <c r="AK76" s="402">
        <f t="shared" si="60"/>
        <v>0</v>
      </c>
      <c r="AL76" s="402">
        <f t="shared" si="60"/>
        <v>30624</v>
      </c>
      <c r="AM76" s="402">
        <f t="shared" si="60"/>
        <v>52624</v>
      </c>
      <c r="AN76" s="402">
        <f t="shared" si="60"/>
        <v>0</v>
      </c>
      <c r="AO76" s="402">
        <f t="shared" si="60"/>
        <v>52624</v>
      </c>
      <c r="AP76" s="402">
        <f t="shared" si="60"/>
        <v>114022</v>
      </c>
      <c r="AQ76" s="402">
        <f t="shared" si="60"/>
        <v>353304</v>
      </c>
      <c r="AR76" s="402">
        <f t="shared" si="60"/>
        <v>64643</v>
      </c>
      <c r="AS76" s="402">
        <f t="shared" si="60"/>
        <v>417947</v>
      </c>
    </row>
    <row r="77" spans="1:45" customFormat="1" ht="26.25" customHeight="1" x14ac:dyDescent="0.25">
      <c r="A77" s="408"/>
      <c r="B77" s="400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408"/>
      <c r="AI77" s="408"/>
      <c r="AJ77" s="408"/>
      <c r="AK77" s="408"/>
      <c r="AL77" s="408"/>
      <c r="AM77" s="408"/>
      <c r="AN77" s="408"/>
      <c r="AO77" s="408"/>
      <c r="AP77" s="408"/>
      <c r="AQ77" s="408"/>
      <c r="AR77" s="408"/>
      <c r="AS77" s="408"/>
    </row>
    <row r="78" spans="1:45" x14ac:dyDescent="0.25">
      <c r="A78" s="11" t="s">
        <v>459</v>
      </c>
      <c r="B78" s="404" t="s">
        <v>460</v>
      </c>
      <c r="C78" s="402">
        <f t="shared" ref="C78:AP78" si="61">+C53-C76</f>
        <v>11323</v>
      </c>
      <c r="D78" s="402">
        <f t="shared" si="61"/>
        <v>-1472</v>
      </c>
      <c r="E78" s="402">
        <f t="shared" si="61"/>
        <v>9851</v>
      </c>
      <c r="F78" s="402">
        <f t="shared" si="61"/>
        <v>-2531</v>
      </c>
      <c r="G78" s="402">
        <f t="shared" si="61"/>
        <v>-4733</v>
      </c>
      <c r="H78" s="402">
        <f t="shared" si="61"/>
        <v>-7264</v>
      </c>
      <c r="I78" s="402">
        <f t="shared" si="61"/>
        <v>2476</v>
      </c>
      <c r="J78" s="402">
        <f t="shared" si="61"/>
        <v>-2734</v>
      </c>
      <c r="K78" s="402">
        <f t="shared" si="61"/>
        <v>-258</v>
      </c>
      <c r="L78" s="402">
        <f t="shared" si="61"/>
        <v>2329</v>
      </c>
      <c r="M78" s="402">
        <f t="shared" si="61"/>
        <v>744</v>
      </c>
      <c r="N78" s="402">
        <f t="shared" si="61"/>
        <v>366</v>
      </c>
      <c r="O78" s="402">
        <f t="shared" si="61"/>
        <v>1110</v>
      </c>
      <c r="P78" s="402">
        <f t="shared" si="61"/>
        <v>654</v>
      </c>
      <c r="Q78" s="402">
        <f t="shared" si="61"/>
        <v>-84</v>
      </c>
      <c r="R78" s="402">
        <f t="shared" si="61"/>
        <v>570</v>
      </c>
      <c r="S78" s="402">
        <f t="shared" si="61"/>
        <v>654</v>
      </c>
      <c r="T78" s="402">
        <f t="shared" si="61"/>
        <v>4343</v>
      </c>
      <c r="U78" s="402">
        <f t="shared" si="61"/>
        <v>4997</v>
      </c>
      <c r="V78" s="402">
        <f t="shared" si="61"/>
        <v>6677</v>
      </c>
      <c r="W78" s="402">
        <f t="shared" si="61"/>
        <v>1004</v>
      </c>
      <c r="X78" s="402">
        <f t="shared" si="61"/>
        <v>2245</v>
      </c>
      <c r="Y78" s="402">
        <f t="shared" si="61"/>
        <v>3249</v>
      </c>
      <c r="Z78" s="402">
        <f t="shared" si="61"/>
        <v>1004</v>
      </c>
      <c r="AA78" s="402">
        <f t="shared" si="61"/>
        <v>266</v>
      </c>
      <c r="AB78" s="402">
        <f t="shared" si="61"/>
        <v>1270</v>
      </c>
      <c r="AC78" s="402">
        <f t="shared" si="61"/>
        <v>1586</v>
      </c>
      <c r="AD78" s="402">
        <f t="shared" si="61"/>
        <v>366</v>
      </c>
      <c r="AE78" s="402">
        <f t="shared" si="61"/>
        <v>1952</v>
      </c>
      <c r="AF78" s="402">
        <f t="shared" si="61"/>
        <v>6471</v>
      </c>
      <c r="AG78" s="402">
        <f t="shared" si="61"/>
        <v>654</v>
      </c>
      <c r="AH78" s="402">
        <f t="shared" si="61"/>
        <v>366</v>
      </c>
      <c r="AI78" s="402">
        <f t="shared" si="61"/>
        <v>1020</v>
      </c>
      <c r="AJ78" s="402">
        <f t="shared" si="61"/>
        <v>704</v>
      </c>
      <c r="AK78" s="402">
        <f t="shared" si="61"/>
        <v>466</v>
      </c>
      <c r="AL78" s="402">
        <f t="shared" si="61"/>
        <v>1170</v>
      </c>
      <c r="AM78" s="402">
        <f t="shared" si="61"/>
        <v>-19233</v>
      </c>
      <c r="AN78" s="402">
        <f t="shared" si="61"/>
        <v>466</v>
      </c>
      <c r="AO78" s="402">
        <f t="shared" si="61"/>
        <v>-18767</v>
      </c>
      <c r="AP78" s="402">
        <f t="shared" si="61"/>
        <v>-16577</v>
      </c>
      <c r="AQ78" s="402">
        <f>C78+F78+I78+M78+P78+S78+W78+Z78+AC78+AG78+AJ78+AM78</f>
        <v>-961</v>
      </c>
      <c r="AR78" s="402">
        <f>D78+G78+J78+N78+Q78+T78+X78+AA78+AD78+AH78+AK78+AN78</f>
        <v>-139</v>
      </c>
      <c r="AS78" s="402">
        <f t="shared" si="17"/>
        <v>-1100</v>
      </c>
    </row>
    <row r="79" spans="1:45" x14ac:dyDescent="0.25">
      <c r="A79" s="11" t="s">
        <v>461</v>
      </c>
      <c r="B79" s="401" t="s">
        <v>462</v>
      </c>
      <c r="C79" s="177"/>
      <c r="D79" s="178"/>
      <c r="E79" s="175">
        <f>E13+E17+E23+E24+E39-E59-E60-E61-E64</f>
        <v>0</v>
      </c>
      <c r="F79" s="177"/>
      <c r="G79" s="178"/>
      <c r="H79" s="175">
        <f>H13+H17+H23+H24+H39-H59-H60-H61-H64</f>
        <v>0</v>
      </c>
      <c r="I79" s="177"/>
      <c r="J79" s="178"/>
      <c r="K79" s="175">
        <f>K13+K17+K23+K24+K39-K59-K60-K61-K64</f>
        <v>0</v>
      </c>
      <c r="L79" s="208">
        <f>SUM(E79,H79,K79)</f>
        <v>0</v>
      </c>
      <c r="M79" s="177"/>
      <c r="N79" s="178"/>
      <c r="O79" s="175">
        <f>O13+O17+O23+O24+O39-O59-O60-O61-O64</f>
        <v>0</v>
      </c>
      <c r="P79" s="177"/>
      <c r="Q79" s="178"/>
      <c r="R79" s="175">
        <f>R13+R17+R23+R24+R39-R59-R60-R61-R64</f>
        <v>0</v>
      </c>
      <c r="S79" s="177"/>
      <c r="T79" s="178"/>
      <c r="U79" s="175">
        <f>U13+U17+U23+U24+U39-U59-U60-U61-U64</f>
        <v>0</v>
      </c>
      <c r="V79" s="208">
        <f>SUM(O79,R79,U79)</f>
        <v>0</v>
      </c>
      <c r="W79" s="177"/>
      <c r="X79" s="178"/>
      <c r="Y79" s="175">
        <f>Y13+Y17+Y23+Y24+Y39-Y59-Y60-Y61-Y64</f>
        <v>0</v>
      </c>
      <c r="Z79" s="177"/>
      <c r="AA79" s="178"/>
      <c r="AB79" s="175">
        <f>AB13+AB17+AB23+AB24+AB39-AB59-AB60-AB61-AB64</f>
        <v>0</v>
      </c>
      <c r="AC79" s="177"/>
      <c r="AD79" s="178"/>
      <c r="AE79" s="175">
        <f>AE13+AE17+AE23+AE24+AE39-AE59-AE60-AE61-AE64</f>
        <v>0</v>
      </c>
      <c r="AF79" s="208">
        <f>SUM(Y79,AB79,AE79)</f>
        <v>0</v>
      </c>
      <c r="AG79" s="177"/>
      <c r="AH79" s="178"/>
      <c r="AI79" s="175">
        <f>AI13+AI17+AI23+AI24+AI39-AI59-AI60-AI61-AI64</f>
        <v>0</v>
      </c>
      <c r="AJ79" s="177"/>
      <c r="AK79" s="178"/>
      <c r="AL79" s="175">
        <f>AL13+AL17+AL23+AL24+AL39-AL59-AL60-AL61-AL64</f>
        <v>0</v>
      </c>
      <c r="AM79" s="177"/>
      <c r="AN79" s="178"/>
      <c r="AO79" s="175">
        <f>AO13+AO17+AO23+AO24+AO39-AO59-AO60-AO61-AO64</f>
        <v>0</v>
      </c>
      <c r="AP79" s="208">
        <f>SUM(AI79,AL79,AO79)</f>
        <v>0</v>
      </c>
      <c r="AQ79" s="179"/>
      <c r="AR79" s="179"/>
      <c r="AS79" s="179"/>
    </row>
    <row r="80" spans="1:45" x14ac:dyDescent="0.25">
      <c r="A80" s="11" t="s">
        <v>463</v>
      </c>
      <c r="B80" s="405" t="s">
        <v>464</v>
      </c>
      <c r="C80" s="402">
        <f t="shared" ref="C80:H80" si="62">C9+C78</f>
        <v>11323</v>
      </c>
      <c r="D80" s="402">
        <f t="shared" si="62"/>
        <v>-1472</v>
      </c>
      <c r="E80" s="402">
        <f t="shared" si="62"/>
        <v>17961</v>
      </c>
      <c r="F80" s="402">
        <f t="shared" si="62"/>
        <v>-2531</v>
      </c>
      <c r="G80" s="402">
        <f t="shared" si="62"/>
        <v>-4733</v>
      </c>
      <c r="H80" s="402">
        <f t="shared" si="62"/>
        <v>10697</v>
      </c>
      <c r="I80" s="402">
        <f t="shared" ref="I80:AN80" si="63">I9+I78</f>
        <v>2476</v>
      </c>
      <c r="J80" s="402">
        <f t="shared" si="63"/>
        <v>-2734</v>
      </c>
      <c r="K80" s="402">
        <f t="shared" si="63"/>
        <v>10439</v>
      </c>
      <c r="L80" s="402">
        <f t="shared" si="63"/>
        <v>13026</v>
      </c>
      <c r="M80" s="402">
        <f t="shared" si="63"/>
        <v>744</v>
      </c>
      <c r="N80" s="402">
        <f t="shared" si="63"/>
        <v>366</v>
      </c>
      <c r="O80" s="402">
        <f t="shared" si="63"/>
        <v>11549</v>
      </c>
      <c r="P80" s="402">
        <f t="shared" si="63"/>
        <v>654</v>
      </c>
      <c r="Q80" s="402">
        <f t="shared" si="63"/>
        <v>-84</v>
      </c>
      <c r="R80" s="402">
        <f t="shared" si="63"/>
        <v>12119</v>
      </c>
      <c r="S80" s="402">
        <f t="shared" si="63"/>
        <v>654</v>
      </c>
      <c r="T80" s="402">
        <f t="shared" si="63"/>
        <v>4343</v>
      </c>
      <c r="U80" s="402">
        <f t="shared" si="63"/>
        <v>17116</v>
      </c>
      <c r="V80" s="402">
        <f t="shared" si="63"/>
        <v>18796</v>
      </c>
      <c r="W80" s="402">
        <f t="shared" si="63"/>
        <v>1004</v>
      </c>
      <c r="X80" s="402">
        <f t="shared" si="63"/>
        <v>2245</v>
      </c>
      <c r="Y80" s="402">
        <f t="shared" si="63"/>
        <v>20365</v>
      </c>
      <c r="Z80" s="402">
        <f t="shared" si="63"/>
        <v>1004</v>
      </c>
      <c r="AA80" s="402">
        <f t="shared" si="63"/>
        <v>266</v>
      </c>
      <c r="AB80" s="402">
        <f t="shared" si="63"/>
        <v>21635</v>
      </c>
      <c r="AC80" s="402">
        <f t="shared" si="63"/>
        <v>1586</v>
      </c>
      <c r="AD80" s="402">
        <f t="shared" si="63"/>
        <v>366</v>
      </c>
      <c r="AE80" s="402">
        <f t="shared" si="63"/>
        <v>23587</v>
      </c>
      <c r="AF80" s="402">
        <f t="shared" si="63"/>
        <v>28106</v>
      </c>
      <c r="AG80" s="402">
        <f t="shared" si="63"/>
        <v>654</v>
      </c>
      <c r="AH80" s="402">
        <f t="shared" si="63"/>
        <v>366</v>
      </c>
      <c r="AI80" s="402">
        <f t="shared" si="63"/>
        <v>24607</v>
      </c>
      <c r="AJ80" s="402">
        <f t="shared" si="63"/>
        <v>704</v>
      </c>
      <c r="AK80" s="402">
        <f t="shared" si="63"/>
        <v>466</v>
      </c>
      <c r="AL80" s="402">
        <f t="shared" si="63"/>
        <v>25777</v>
      </c>
      <c r="AM80" s="402">
        <f t="shared" si="63"/>
        <v>-19233</v>
      </c>
      <c r="AN80" s="402">
        <f t="shared" si="63"/>
        <v>466</v>
      </c>
      <c r="AO80" s="402">
        <f>AO9+AO78</f>
        <v>7010</v>
      </c>
      <c r="AP80" s="402">
        <f>AP9+AP78</f>
        <v>9200</v>
      </c>
      <c r="AQ80" s="402">
        <f>AQ9+AQ78</f>
        <v>-961</v>
      </c>
      <c r="AR80" s="402">
        <f>AR9+AR78</f>
        <v>-139</v>
      </c>
      <c r="AS80" s="402">
        <f>AS9+AS78</f>
        <v>-1100</v>
      </c>
    </row>
    <row r="81" spans="1:45" x14ac:dyDescent="0.25">
      <c r="A81" s="11" t="s">
        <v>465</v>
      </c>
      <c r="B81" s="405" t="s">
        <v>466</v>
      </c>
      <c r="C81" s="402">
        <f>+C80-C12+C88+C89</f>
        <v>11323</v>
      </c>
      <c r="D81" s="402">
        <f>+D80-D12+D88+D89</f>
        <v>-1472</v>
      </c>
      <c r="E81" s="402">
        <f>+E80-E12+E88+E89</f>
        <v>17961</v>
      </c>
      <c r="F81" s="402">
        <f t="shared" ref="F81:AP81" si="64">+F80-F12+F88+F89</f>
        <v>-2531</v>
      </c>
      <c r="G81" s="402">
        <f t="shared" si="64"/>
        <v>-4733</v>
      </c>
      <c r="H81" s="402">
        <f t="shared" si="64"/>
        <v>10697</v>
      </c>
      <c r="I81" s="402">
        <f t="shared" si="64"/>
        <v>2476</v>
      </c>
      <c r="J81" s="402">
        <f t="shared" si="64"/>
        <v>-2734</v>
      </c>
      <c r="K81" s="402">
        <f t="shared" si="64"/>
        <v>10439</v>
      </c>
      <c r="L81" s="402">
        <f t="shared" si="64"/>
        <v>13026</v>
      </c>
      <c r="M81" s="402">
        <f t="shared" si="64"/>
        <v>744</v>
      </c>
      <c r="N81" s="402">
        <f t="shared" si="64"/>
        <v>366</v>
      </c>
      <c r="O81" s="402">
        <f t="shared" si="64"/>
        <v>11549</v>
      </c>
      <c r="P81" s="402">
        <f t="shared" si="64"/>
        <v>654</v>
      </c>
      <c r="Q81" s="402">
        <f t="shared" si="64"/>
        <v>-84</v>
      </c>
      <c r="R81" s="402">
        <f t="shared" si="64"/>
        <v>12119</v>
      </c>
      <c r="S81" s="402">
        <f t="shared" si="64"/>
        <v>654</v>
      </c>
      <c r="T81" s="402">
        <f t="shared" si="64"/>
        <v>4343</v>
      </c>
      <c r="U81" s="402">
        <f t="shared" si="64"/>
        <v>17116</v>
      </c>
      <c r="V81" s="402">
        <f t="shared" si="64"/>
        <v>18796</v>
      </c>
      <c r="W81" s="402">
        <f t="shared" si="64"/>
        <v>1004</v>
      </c>
      <c r="X81" s="402">
        <f t="shared" si="64"/>
        <v>2245</v>
      </c>
      <c r="Y81" s="402">
        <f t="shared" si="64"/>
        <v>20365</v>
      </c>
      <c r="Z81" s="402">
        <f t="shared" si="64"/>
        <v>1004</v>
      </c>
      <c r="AA81" s="402">
        <f t="shared" si="64"/>
        <v>266</v>
      </c>
      <c r="AB81" s="402">
        <f t="shared" si="64"/>
        <v>21635</v>
      </c>
      <c r="AC81" s="402">
        <f t="shared" si="64"/>
        <v>1586</v>
      </c>
      <c r="AD81" s="402">
        <f t="shared" si="64"/>
        <v>366</v>
      </c>
      <c r="AE81" s="402">
        <f t="shared" si="64"/>
        <v>23587</v>
      </c>
      <c r="AF81" s="402">
        <f t="shared" si="64"/>
        <v>28106</v>
      </c>
      <c r="AG81" s="402">
        <f t="shared" si="64"/>
        <v>654</v>
      </c>
      <c r="AH81" s="402">
        <f t="shared" si="64"/>
        <v>366</v>
      </c>
      <c r="AI81" s="402">
        <f t="shared" si="64"/>
        <v>24607</v>
      </c>
      <c r="AJ81" s="402">
        <f t="shared" si="64"/>
        <v>704</v>
      </c>
      <c r="AK81" s="402">
        <f t="shared" si="64"/>
        <v>466</v>
      </c>
      <c r="AL81" s="402">
        <f t="shared" si="64"/>
        <v>25777</v>
      </c>
      <c r="AM81" s="402">
        <f t="shared" si="64"/>
        <v>-19233</v>
      </c>
      <c r="AN81" s="402">
        <f t="shared" si="64"/>
        <v>466</v>
      </c>
      <c r="AO81" s="402">
        <f t="shared" si="64"/>
        <v>7010</v>
      </c>
      <c r="AP81" s="402">
        <f t="shared" si="64"/>
        <v>9200</v>
      </c>
      <c r="AQ81" s="402">
        <f>+AQ80-AQ12+AQ88+AQ89</f>
        <v>-961</v>
      </c>
      <c r="AR81" s="402">
        <f>+AR80-AR12+AR88+AR89</f>
        <v>-139</v>
      </c>
      <c r="AS81" s="402">
        <f>+AS80-AS12+AS88+AS89</f>
        <v>-1100</v>
      </c>
    </row>
    <row r="82" spans="1:45" ht="18.75" x14ac:dyDescent="0.25">
      <c r="B82" s="9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</row>
    <row r="83" spans="1:45" x14ac:dyDescent="0.25">
      <c r="A83" s="11" t="s">
        <v>467</v>
      </c>
      <c r="B83" s="16" t="s">
        <v>468</v>
      </c>
      <c r="C83" s="177"/>
      <c r="D83" s="178"/>
      <c r="E83" s="119"/>
      <c r="F83" s="177"/>
      <c r="G83" s="178"/>
      <c r="H83" s="119"/>
      <c r="I83" s="177"/>
      <c r="J83" s="178"/>
      <c r="K83" s="119"/>
      <c r="L83" s="180">
        <f>+E83+H83+K83</f>
        <v>0</v>
      </c>
      <c r="M83" s="177"/>
      <c r="N83" s="178"/>
      <c r="O83" s="119"/>
      <c r="P83" s="177"/>
      <c r="Q83" s="178"/>
      <c r="R83" s="119"/>
      <c r="S83" s="177"/>
      <c r="T83" s="178"/>
      <c r="U83" s="119"/>
      <c r="V83" s="180">
        <f>+O83+R83+U83</f>
        <v>0</v>
      </c>
      <c r="W83" s="177"/>
      <c r="X83" s="178"/>
      <c r="Y83" s="119"/>
      <c r="Z83" s="177"/>
      <c r="AA83" s="178"/>
      <c r="AB83" s="119"/>
      <c r="AC83" s="177"/>
      <c r="AD83" s="178"/>
      <c r="AE83" s="119"/>
      <c r="AF83" s="180">
        <f>+Y83+AB83+AE83</f>
        <v>0</v>
      </c>
      <c r="AG83" s="177"/>
      <c r="AH83" s="178"/>
      <c r="AI83" s="119"/>
      <c r="AJ83" s="177"/>
      <c r="AK83" s="178"/>
      <c r="AL83" s="119"/>
      <c r="AM83" s="177"/>
      <c r="AN83" s="178"/>
      <c r="AO83" s="119"/>
      <c r="AP83" s="180">
        <f>+AI83+AL83+AO83</f>
        <v>0</v>
      </c>
      <c r="AQ83" s="177"/>
      <c r="AR83" s="178"/>
      <c r="AS83" s="181">
        <f t="shared" si="17"/>
        <v>0</v>
      </c>
    </row>
    <row r="84" spans="1:45" x14ac:dyDescent="0.25">
      <c r="A84" s="11" t="s">
        <v>469</v>
      </c>
      <c r="B84" s="16" t="s">
        <v>470</v>
      </c>
      <c r="C84" s="177"/>
      <c r="D84" s="178"/>
      <c r="E84" s="119"/>
      <c r="F84" s="177"/>
      <c r="G84" s="178"/>
      <c r="H84" s="119"/>
      <c r="I84" s="177"/>
      <c r="J84" s="178"/>
      <c r="K84" s="119"/>
      <c r="L84" s="180">
        <f>+E84+H84+K84</f>
        <v>0</v>
      </c>
      <c r="M84" s="177"/>
      <c r="N84" s="178"/>
      <c r="O84" s="119"/>
      <c r="P84" s="177"/>
      <c r="Q84" s="178"/>
      <c r="R84" s="119"/>
      <c r="S84" s="177"/>
      <c r="T84" s="178"/>
      <c r="U84" s="119"/>
      <c r="V84" s="180">
        <f>+O84+R84+U84</f>
        <v>0</v>
      </c>
      <c r="W84" s="177"/>
      <c r="X84" s="178"/>
      <c r="Y84" s="119"/>
      <c r="Z84" s="177"/>
      <c r="AA84" s="178"/>
      <c r="AB84" s="119"/>
      <c r="AC84" s="177"/>
      <c r="AD84" s="178"/>
      <c r="AE84" s="119"/>
      <c r="AF84" s="180">
        <f>+Y84+AB84+AE84</f>
        <v>0</v>
      </c>
      <c r="AG84" s="177"/>
      <c r="AH84" s="178"/>
      <c r="AI84" s="119"/>
      <c r="AJ84" s="177"/>
      <c r="AK84" s="178"/>
      <c r="AL84" s="119"/>
      <c r="AM84" s="177"/>
      <c r="AN84" s="178"/>
      <c r="AO84" s="119"/>
      <c r="AP84" s="180">
        <f>+AI84+AL84+AO84</f>
        <v>0</v>
      </c>
      <c r="AQ84" s="177"/>
      <c r="AR84" s="178"/>
      <c r="AS84" s="181">
        <f>SUM(AQ84:AR84)</f>
        <v>0</v>
      </c>
    </row>
    <row r="85" spans="1:45" x14ac:dyDescent="0.25">
      <c r="A85" s="11" t="s">
        <v>471</v>
      </c>
      <c r="B85" s="16" t="s">
        <v>472</v>
      </c>
      <c r="C85" s="177"/>
      <c r="D85" s="178"/>
      <c r="E85" s="119"/>
      <c r="F85" s="177"/>
      <c r="G85" s="178"/>
      <c r="H85" s="119"/>
      <c r="I85" s="177"/>
      <c r="J85" s="178"/>
      <c r="K85" s="119"/>
      <c r="L85" s="180">
        <f>+E85+H85+K85</f>
        <v>0</v>
      </c>
      <c r="M85" s="177"/>
      <c r="N85" s="178"/>
      <c r="O85" s="119"/>
      <c r="P85" s="177"/>
      <c r="Q85" s="178"/>
      <c r="R85" s="119"/>
      <c r="S85" s="177"/>
      <c r="T85" s="178"/>
      <c r="U85" s="119"/>
      <c r="V85" s="180">
        <f>+O85+R85+U85</f>
        <v>0</v>
      </c>
      <c r="W85" s="177"/>
      <c r="X85" s="178"/>
      <c r="Y85" s="119"/>
      <c r="Z85" s="177"/>
      <c r="AA85" s="178"/>
      <c r="AB85" s="119"/>
      <c r="AC85" s="177"/>
      <c r="AD85" s="178"/>
      <c r="AE85" s="119"/>
      <c r="AF85" s="180">
        <f>+Y85+AB85+AE85</f>
        <v>0</v>
      </c>
      <c r="AG85" s="177"/>
      <c r="AH85" s="178"/>
      <c r="AI85" s="119"/>
      <c r="AJ85" s="177"/>
      <c r="AK85" s="178"/>
      <c r="AL85" s="119"/>
      <c r="AM85" s="177"/>
      <c r="AN85" s="178"/>
      <c r="AO85" s="119"/>
      <c r="AP85" s="180">
        <f>+AI85+AL85+AO85</f>
        <v>0</v>
      </c>
      <c r="AQ85" s="177"/>
      <c r="AR85" s="178"/>
      <c r="AS85" s="181">
        <f>SUM(AQ85:AR85)</f>
        <v>0</v>
      </c>
    </row>
    <row r="88" spans="1:45" x14ac:dyDescent="0.25">
      <c r="A88" s="11" t="s">
        <v>473</v>
      </c>
      <c r="B88" s="84" t="s">
        <v>474</v>
      </c>
      <c r="C88" s="412">
        <f>C14+C15+C16</f>
        <v>7000</v>
      </c>
      <c r="D88" s="412">
        <f t="shared" ref="D88:AS88" si="65">D14+D15+D16</f>
        <v>0</v>
      </c>
      <c r="E88" s="412">
        <f>E14+E15+E16</f>
        <v>7000</v>
      </c>
      <c r="F88" s="412">
        <f>F14+F15+F16</f>
        <v>7000</v>
      </c>
      <c r="G88" s="412">
        <f t="shared" si="65"/>
        <v>0</v>
      </c>
      <c r="H88" s="412">
        <f t="shared" si="65"/>
        <v>7000</v>
      </c>
      <c r="I88" s="412">
        <f>I14+I15+I16</f>
        <v>7000</v>
      </c>
      <c r="J88" s="412">
        <f t="shared" si="65"/>
        <v>0</v>
      </c>
      <c r="K88" s="412">
        <f t="shared" si="65"/>
        <v>7000</v>
      </c>
      <c r="L88" s="412">
        <f t="shared" si="65"/>
        <v>21000</v>
      </c>
      <c r="M88" s="412">
        <f t="shared" si="65"/>
        <v>7000</v>
      </c>
      <c r="N88" s="412">
        <f t="shared" si="65"/>
        <v>0</v>
      </c>
      <c r="O88" s="412">
        <f t="shared" si="65"/>
        <v>7000</v>
      </c>
      <c r="P88" s="412">
        <f t="shared" si="65"/>
        <v>7000</v>
      </c>
      <c r="Q88" s="412">
        <f t="shared" si="65"/>
        <v>0</v>
      </c>
      <c r="R88" s="412">
        <f t="shared" si="65"/>
        <v>7000</v>
      </c>
      <c r="S88" s="412">
        <f t="shared" si="65"/>
        <v>7000</v>
      </c>
      <c r="T88" s="412">
        <f t="shared" si="65"/>
        <v>0</v>
      </c>
      <c r="U88" s="412">
        <f t="shared" si="65"/>
        <v>7000</v>
      </c>
      <c r="V88" s="412">
        <f t="shared" si="65"/>
        <v>21000</v>
      </c>
      <c r="W88" s="412">
        <f t="shared" si="65"/>
        <v>7000</v>
      </c>
      <c r="X88" s="412">
        <f t="shared" si="65"/>
        <v>0</v>
      </c>
      <c r="Y88" s="412">
        <f t="shared" si="65"/>
        <v>7000</v>
      </c>
      <c r="Z88" s="412">
        <f t="shared" si="65"/>
        <v>7000</v>
      </c>
      <c r="AA88" s="412">
        <f t="shared" si="65"/>
        <v>0</v>
      </c>
      <c r="AB88" s="412">
        <f t="shared" si="65"/>
        <v>7000</v>
      </c>
      <c r="AC88" s="412">
        <f t="shared" si="65"/>
        <v>7000</v>
      </c>
      <c r="AD88" s="412">
        <f t="shared" si="65"/>
        <v>0</v>
      </c>
      <c r="AE88" s="412">
        <f t="shared" si="65"/>
        <v>7000</v>
      </c>
      <c r="AF88" s="412">
        <f t="shared" si="65"/>
        <v>21000</v>
      </c>
      <c r="AG88" s="412">
        <f t="shared" si="65"/>
        <v>7000</v>
      </c>
      <c r="AH88" s="412">
        <f t="shared" si="65"/>
        <v>0</v>
      </c>
      <c r="AI88" s="412">
        <f t="shared" si="65"/>
        <v>7000</v>
      </c>
      <c r="AJ88" s="412">
        <f t="shared" si="65"/>
        <v>7000</v>
      </c>
      <c r="AK88" s="412">
        <f t="shared" si="65"/>
        <v>0</v>
      </c>
      <c r="AL88" s="412">
        <f t="shared" si="65"/>
        <v>7000</v>
      </c>
      <c r="AM88" s="412">
        <f t="shared" si="65"/>
        <v>9063</v>
      </c>
      <c r="AN88" s="412">
        <f t="shared" si="65"/>
        <v>0</v>
      </c>
      <c r="AO88" s="412">
        <f t="shared" si="65"/>
        <v>9063</v>
      </c>
      <c r="AP88" s="412">
        <f t="shared" si="65"/>
        <v>23063</v>
      </c>
      <c r="AQ88" s="412">
        <f t="shared" si="65"/>
        <v>86063</v>
      </c>
      <c r="AR88" s="412">
        <f t="shared" si="65"/>
        <v>0</v>
      </c>
      <c r="AS88" s="413">
        <f t="shared" si="65"/>
        <v>86063</v>
      </c>
    </row>
    <row r="89" spans="1:45" x14ac:dyDescent="0.25">
      <c r="A89" s="11" t="s">
        <v>475</v>
      </c>
      <c r="B89" s="84" t="s">
        <v>476</v>
      </c>
      <c r="C89" s="412">
        <f>C13-C59</f>
        <v>0</v>
      </c>
      <c r="D89" s="412">
        <f t="shared" ref="D89:AS89" si="66">D13-D59</f>
        <v>0</v>
      </c>
      <c r="E89" s="412">
        <f>E13-E59</f>
        <v>0</v>
      </c>
      <c r="F89" s="412">
        <f t="shared" si="66"/>
        <v>0</v>
      </c>
      <c r="G89" s="412">
        <f t="shared" si="66"/>
        <v>0</v>
      </c>
      <c r="H89" s="412">
        <f t="shared" si="66"/>
        <v>0</v>
      </c>
      <c r="I89" s="412">
        <f>I13-I59</f>
        <v>0</v>
      </c>
      <c r="J89" s="412">
        <f t="shared" si="66"/>
        <v>0</v>
      </c>
      <c r="K89" s="412">
        <f t="shared" si="66"/>
        <v>0</v>
      </c>
      <c r="L89" s="412">
        <f t="shared" si="66"/>
        <v>0</v>
      </c>
      <c r="M89" s="412">
        <f t="shared" si="66"/>
        <v>0</v>
      </c>
      <c r="N89" s="412">
        <f t="shared" si="66"/>
        <v>0</v>
      </c>
      <c r="O89" s="412">
        <f t="shared" si="66"/>
        <v>0</v>
      </c>
      <c r="P89" s="412">
        <f t="shared" si="66"/>
        <v>0</v>
      </c>
      <c r="Q89" s="412">
        <f t="shared" si="66"/>
        <v>0</v>
      </c>
      <c r="R89" s="412">
        <f t="shared" si="66"/>
        <v>0</v>
      </c>
      <c r="S89" s="412">
        <f t="shared" si="66"/>
        <v>0</v>
      </c>
      <c r="T89" s="412">
        <f t="shared" si="66"/>
        <v>0</v>
      </c>
      <c r="U89" s="412">
        <f t="shared" si="66"/>
        <v>0</v>
      </c>
      <c r="V89" s="412">
        <f t="shared" si="66"/>
        <v>0</v>
      </c>
      <c r="W89" s="412">
        <f t="shared" si="66"/>
        <v>0</v>
      </c>
      <c r="X89" s="412">
        <f t="shared" si="66"/>
        <v>0</v>
      </c>
      <c r="Y89" s="412">
        <f t="shared" si="66"/>
        <v>0</v>
      </c>
      <c r="Z89" s="412">
        <f t="shared" si="66"/>
        <v>0</v>
      </c>
      <c r="AA89" s="412">
        <f t="shared" si="66"/>
        <v>0</v>
      </c>
      <c r="AB89" s="412">
        <f t="shared" si="66"/>
        <v>0</v>
      </c>
      <c r="AC89" s="412">
        <f t="shared" si="66"/>
        <v>0</v>
      </c>
      <c r="AD89" s="412">
        <f t="shared" si="66"/>
        <v>0</v>
      </c>
      <c r="AE89" s="412">
        <f t="shared" si="66"/>
        <v>0</v>
      </c>
      <c r="AF89" s="412">
        <f t="shared" si="66"/>
        <v>0</v>
      </c>
      <c r="AG89" s="412">
        <f t="shared" si="66"/>
        <v>0</v>
      </c>
      <c r="AH89" s="412">
        <f t="shared" si="66"/>
        <v>0</v>
      </c>
      <c r="AI89" s="412">
        <f t="shared" si="66"/>
        <v>0</v>
      </c>
      <c r="AJ89" s="412">
        <f t="shared" si="66"/>
        <v>0</v>
      </c>
      <c r="AK89" s="412">
        <f t="shared" si="66"/>
        <v>0</v>
      </c>
      <c r="AL89" s="412">
        <f t="shared" si="66"/>
        <v>0</v>
      </c>
      <c r="AM89" s="412">
        <f t="shared" si="66"/>
        <v>0</v>
      </c>
      <c r="AN89" s="412">
        <f t="shared" si="66"/>
        <v>0</v>
      </c>
      <c r="AO89" s="412">
        <f t="shared" si="66"/>
        <v>0</v>
      </c>
      <c r="AP89" s="412">
        <f t="shared" si="66"/>
        <v>0</v>
      </c>
      <c r="AQ89" s="412">
        <f t="shared" si="66"/>
        <v>0</v>
      </c>
      <c r="AR89" s="412">
        <f t="shared" si="66"/>
        <v>0</v>
      </c>
      <c r="AS89" s="413">
        <f t="shared" si="66"/>
        <v>0</v>
      </c>
    </row>
    <row r="90" spans="1:45" x14ac:dyDescent="0.25">
      <c r="A90" s="11" t="s">
        <v>477</v>
      </c>
      <c r="B90" s="84" t="s">
        <v>478</v>
      </c>
      <c r="C90" s="412">
        <f>C88</f>
        <v>7000</v>
      </c>
      <c r="D90" s="412">
        <f t="shared" ref="D90:AS90" si="67">D88</f>
        <v>0</v>
      </c>
      <c r="E90" s="412">
        <f>E88</f>
        <v>7000</v>
      </c>
      <c r="F90" s="412">
        <f>F88</f>
        <v>7000</v>
      </c>
      <c r="G90" s="412">
        <f t="shared" si="67"/>
        <v>0</v>
      </c>
      <c r="H90" s="412">
        <f t="shared" si="67"/>
        <v>7000</v>
      </c>
      <c r="I90" s="412">
        <f>I88</f>
        <v>7000</v>
      </c>
      <c r="J90" s="412">
        <f t="shared" si="67"/>
        <v>0</v>
      </c>
      <c r="K90" s="412">
        <f>K88</f>
        <v>7000</v>
      </c>
      <c r="L90" s="412">
        <f t="shared" si="67"/>
        <v>21000</v>
      </c>
      <c r="M90" s="412">
        <f t="shared" si="67"/>
        <v>7000</v>
      </c>
      <c r="N90" s="412">
        <f t="shared" si="67"/>
        <v>0</v>
      </c>
      <c r="O90" s="412">
        <f t="shared" si="67"/>
        <v>7000</v>
      </c>
      <c r="P90" s="412">
        <f t="shared" si="67"/>
        <v>7000</v>
      </c>
      <c r="Q90" s="412">
        <f t="shared" si="67"/>
        <v>0</v>
      </c>
      <c r="R90" s="412">
        <f t="shared" si="67"/>
        <v>7000</v>
      </c>
      <c r="S90" s="412">
        <f t="shared" si="67"/>
        <v>7000</v>
      </c>
      <c r="T90" s="412">
        <f t="shared" si="67"/>
        <v>0</v>
      </c>
      <c r="U90" s="412">
        <f t="shared" si="67"/>
        <v>7000</v>
      </c>
      <c r="V90" s="412">
        <f t="shared" si="67"/>
        <v>21000</v>
      </c>
      <c r="W90" s="412">
        <f t="shared" si="67"/>
        <v>7000</v>
      </c>
      <c r="X90" s="412">
        <f t="shared" si="67"/>
        <v>0</v>
      </c>
      <c r="Y90" s="412">
        <f t="shared" si="67"/>
        <v>7000</v>
      </c>
      <c r="Z90" s="412">
        <f t="shared" si="67"/>
        <v>7000</v>
      </c>
      <c r="AA90" s="412">
        <f t="shared" si="67"/>
        <v>0</v>
      </c>
      <c r="AB90" s="412">
        <f t="shared" si="67"/>
        <v>7000</v>
      </c>
      <c r="AC90" s="412">
        <f t="shared" si="67"/>
        <v>7000</v>
      </c>
      <c r="AD90" s="412">
        <f t="shared" si="67"/>
        <v>0</v>
      </c>
      <c r="AE90" s="412">
        <f t="shared" si="67"/>
        <v>7000</v>
      </c>
      <c r="AF90" s="412">
        <f t="shared" si="67"/>
        <v>21000</v>
      </c>
      <c r="AG90" s="412">
        <f t="shared" si="67"/>
        <v>7000</v>
      </c>
      <c r="AH90" s="412">
        <f t="shared" si="67"/>
        <v>0</v>
      </c>
      <c r="AI90" s="412">
        <f t="shared" si="67"/>
        <v>7000</v>
      </c>
      <c r="AJ90" s="412">
        <f t="shared" si="67"/>
        <v>7000</v>
      </c>
      <c r="AK90" s="412">
        <f t="shared" si="67"/>
        <v>0</v>
      </c>
      <c r="AL90" s="412">
        <f t="shared" si="67"/>
        <v>7000</v>
      </c>
      <c r="AM90" s="412">
        <f t="shared" si="67"/>
        <v>9063</v>
      </c>
      <c r="AN90" s="412">
        <f t="shared" si="67"/>
        <v>0</v>
      </c>
      <c r="AO90" s="412">
        <f t="shared" si="67"/>
        <v>9063</v>
      </c>
      <c r="AP90" s="412">
        <f t="shared" si="67"/>
        <v>23063</v>
      </c>
      <c r="AQ90" s="412">
        <f t="shared" si="67"/>
        <v>86063</v>
      </c>
      <c r="AR90" s="412">
        <f t="shared" si="67"/>
        <v>0</v>
      </c>
      <c r="AS90" s="413">
        <f t="shared" si="67"/>
        <v>86063</v>
      </c>
    </row>
    <row r="91" spans="1:45" x14ac:dyDescent="0.25">
      <c r="A91" s="11" t="s">
        <v>479</v>
      </c>
      <c r="B91" s="84" t="s">
        <v>480</v>
      </c>
      <c r="C91" s="412">
        <f>C13</f>
        <v>0</v>
      </c>
      <c r="D91" s="412">
        <f t="shared" ref="D91:AS91" si="68">D13</f>
        <v>0</v>
      </c>
      <c r="E91" s="412">
        <f>E13</f>
        <v>0</v>
      </c>
      <c r="F91" s="412">
        <f t="shared" si="68"/>
        <v>0</v>
      </c>
      <c r="G91" s="412">
        <f t="shared" si="68"/>
        <v>0</v>
      </c>
      <c r="H91" s="412">
        <f t="shared" si="68"/>
        <v>0</v>
      </c>
      <c r="I91" s="412">
        <f>I13</f>
        <v>0</v>
      </c>
      <c r="J91" s="412">
        <f t="shared" si="68"/>
        <v>0</v>
      </c>
      <c r="K91" s="412">
        <f t="shared" si="68"/>
        <v>0</v>
      </c>
      <c r="L91" s="412">
        <f t="shared" si="68"/>
        <v>0</v>
      </c>
      <c r="M91" s="412">
        <f t="shared" si="68"/>
        <v>0</v>
      </c>
      <c r="N91" s="412">
        <f t="shared" si="68"/>
        <v>0</v>
      </c>
      <c r="O91" s="412">
        <f t="shared" si="68"/>
        <v>0</v>
      </c>
      <c r="P91" s="412">
        <f t="shared" si="68"/>
        <v>0</v>
      </c>
      <c r="Q91" s="412">
        <f t="shared" si="68"/>
        <v>0</v>
      </c>
      <c r="R91" s="412">
        <f t="shared" si="68"/>
        <v>0</v>
      </c>
      <c r="S91" s="412">
        <f t="shared" si="68"/>
        <v>0</v>
      </c>
      <c r="T91" s="412">
        <f t="shared" si="68"/>
        <v>0</v>
      </c>
      <c r="U91" s="412">
        <f t="shared" si="68"/>
        <v>0</v>
      </c>
      <c r="V91" s="412">
        <f t="shared" si="68"/>
        <v>0</v>
      </c>
      <c r="W91" s="412">
        <f t="shared" si="68"/>
        <v>0</v>
      </c>
      <c r="X91" s="412">
        <f t="shared" si="68"/>
        <v>0</v>
      </c>
      <c r="Y91" s="412">
        <f t="shared" si="68"/>
        <v>0</v>
      </c>
      <c r="Z91" s="412">
        <f t="shared" si="68"/>
        <v>0</v>
      </c>
      <c r="AA91" s="412">
        <f t="shared" si="68"/>
        <v>0</v>
      </c>
      <c r="AB91" s="412">
        <f t="shared" si="68"/>
        <v>0</v>
      </c>
      <c r="AC91" s="412">
        <f t="shared" si="68"/>
        <v>0</v>
      </c>
      <c r="AD91" s="412">
        <f t="shared" si="68"/>
        <v>0</v>
      </c>
      <c r="AE91" s="412">
        <f t="shared" si="68"/>
        <v>0</v>
      </c>
      <c r="AF91" s="412">
        <f t="shared" si="68"/>
        <v>0</v>
      </c>
      <c r="AG91" s="412">
        <f t="shared" si="68"/>
        <v>0</v>
      </c>
      <c r="AH91" s="412">
        <f t="shared" si="68"/>
        <v>0</v>
      </c>
      <c r="AI91" s="412">
        <f t="shared" si="68"/>
        <v>0</v>
      </c>
      <c r="AJ91" s="412">
        <f t="shared" si="68"/>
        <v>0</v>
      </c>
      <c r="AK91" s="412">
        <f t="shared" si="68"/>
        <v>0</v>
      </c>
      <c r="AL91" s="412">
        <f t="shared" si="68"/>
        <v>0</v>
      </c>
      <c r="AM91" s="412">
        <f t="shared" si="68"/>
        <v>0</v>
      </c>
      <c r="AN91" s="412">
        <f t="shared" si="68"/>
        <v>0</v>
      </c>
      <c r="AO91" s="412">
        <f t="shared" si="68"/>
        <v>0</v>
      </c>
      <c r="AP91" s="412">
        <f t="shared" si="68"/>
        <v>0</v>
      </c>
      <c r="AQ91" s="412">
        <f t="shared" si="68"/>
        <v>0</v>
      </c>
      <c r="AR91" s="412">
        <f t="shared" si="68"/>
        <v>0</v>
      </c>
      <c r="AS91" s="413">
        <f t="shared" si="68"/>
        <v>0</v>
      </c>
    </row>
    <row r="92" spans="1:45" x14ac:dyDescent="0.25">
      <c r="B92" s="182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4"/>
      <c r="AR92" s="184"/>
      <c r="AS92" s="184"/>
    </row>
    <row r="93" spans="1:45" x14ac:dyDescent="0.25">
      <c r="A93" s="11" t="s">
        <v>481</v>
      </c>
      <c r="B93" s="12" t="s">
        <v>482</v>
      </c>
      <c r="C93" s="413">
        <f t="shared" ref="C93:AS93" si="69">C17</f>
        <v>0</v>
      </c>
      <c r="D93" s="413">
        <f t="shared" si="69"/>
        <v>0</v>
      </c>
      <c r="E93" s="413">
        <f t="shared" si="69"/>
        <v>0</v>
      </c>
      <c r="F93" s="413">
        <f t="shared" si="69"/>
        <v>0</v>
      </c>
      <c r="G93" s="413">
        <f t="shared" si="69"/>
        <v>0</v>
      </c>
      <c r="H93" s="413">
        <f t="shared" si="69"/>
        <v>0</v>
      </c>
      <c r="I93" s="413">
        <f t="shared" si="69"/>
        <v>0</v>
      </c>
      <c r="J93" s="413">
        <f t="shared" si="69"/>
        <v>0</v>
      </c>
      <c r="K93" s="413">
        <f t="shared" si="69"/>
        <v>0</v>
      </c>
      <c r="L93" s="413">
        <f t="shared" si="69"/>
        <v>0</v>
      </c>
      <c r="M93" s="413">
        <f t="shared" si="69"/>
        <v>0</v>
      </c>
      <c r="N93" s="413">
        <f t="shared" si="69"/>
        <v>0</v>
      </c>
      <c r="O93" s="413">
        <f t="shared" si="69"/>
        <v>0</v>
      </c>
      <c r="P93" s="413">
        <f t="shared" si="69"/>
        <v>0</v>
      </c>
      <c r="Q93" s="413">
        <f t="shared" si="69"/>
        <v>0</v>
      </c>
      <c r="R93" s="413">
        <f t="shared" si="69"/>
        <v>0</v>
      </c>
      <c r="S93" s="413">
        <f t="shared" si="69"/>
        <v>0</v>
      </c>
      <c r="T93" s="413">
        <f t="shared" si="69"/>
        <v>0</v>
      </c>
      <c r="U93" s="413">
        <f t="shared" si="69"/>
        <v>0</v>
      </c>
      <c r="V93" s="413">
        <f t="shared" si="69"/>
        <v>0</v>
      </c>
      <c r="W93" s="413">
        <f t="shared" si="69"/>
        <v>0</v>
      </c>
      <c r="X93" s="413">
        <f t="shared" si="69"/>
        <v>0</v>
      </c>
      <c r="Y93" s="413">
        <f t="shared" si="69"/>
        <v>0</v>
      </c>
      <c r="Z93" s="413">
        <f t="shared" si="69"/>
        <v>0</v>
      </c>
      <c r="AA93" s="413">
        <f t="shared" si="69"/>
        <v>0</v>
      </c>
      <c r="AB93" s="413">
        <f t="shared" si="69"/>
        <v>0</v>
      </c>
      <c r="AC93" s="413">
        <f t="shared" si="69"/>
        <v>0</v>
      </c>
      <c r="AD93" s="413">
        <f t="shared" si="69"/>
        <v>0</v>
      </c>
      <c r="AE93" s="413">
        <f t="shared" si="69"/>
        <v>0</v>
      </c>
      <c r="AF93" s="413">
        <f t="shared" si="69"/>
        <v>0</v>
      </c>
      <c r="AG93" s="413">
        <f t="shared" si="69"/>
        <v>0</v>
      </c>
      <c r="AH93" s="413">
        <f t="shared" si="69"/>
        <v>0</v>
      </c>
      <c r="AI93" s="413">
        <f t="shared" si="69"/>
        <v>0</v>
      </c>
      <c r="AJ93" s="413">
        <f t="shared" si="69"/>
        <v>0</v>
      </c>
      <c r="AK93" s="413">
        <f t="shared" si="69"/>
        <v>0</v>
      </c>
      <c r="AL93" s="413">
        <f t="shared" si="69"/>
        <v>0</v>
      </c>
      <c r="AM93" s="413">
        <f t="shared" si="69"/>
        <v>0</v>
      </c>
      <c r="AN93" s="413">
        <f t="shared" si="69"/>
        <v>0</v>
      </c>
      <c r="AO93" s="413">
        <f t="shared" si="69"/>
        <v>0</v>
      </c>
      <c r="AP93" s="413">
        <f t="shared" si="69"/>
        <v>0</v>
      </c>
      <c r="AQ93" s="413">
        <f t="shared" si="69"/>
        <v>0</v>
      </c>
      <c r="AR93" s="413">
        <f t="shared" si="69"/>
        <v>0</v>
      </c>
      <c r="AS93" s="413">
        <f t="shared" si="69"/>
        <v>0</v>
      </c>
    </row>
    <row r="94" spans="1:45" x14ac:dyDescent="0.25">
      <c r="B94" s="182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4"/>
      <c r="AR94" s="184"/>
      <c r="AS94" s="184"/>
    </row>
    <row r="95" spans="1:45" x14ac:dyDescent="0.25">
      <c r="A95" s="11" t="s">
        <v>483</v>
      </c>
      <c r="B95" s="12" t="s">
        <v>484</v>
      </c>
      <c r="C95" s="413">
        <f t="shared" ref="C95:AS95" si="70">C91+C93+C90</f>
        <v>7000</v>
      </c>
      <c r="D95" s="413">
        <f t="shared" si="70"/>
        <v>0</v>
      </c>
      <c r="E95" s="413">
        <f t="shared" si="70"/>
        <v>7000</v>
      </c>
      <c r="F95" s="413">
        <f t="shared" si="70"/>
        <v>7000</v>
      </c>
      <c r="G95" s="413">
        <f t="shared" si="70"/>
        <v>0</v>
      </c>
      <c r="H95" s="413">
        <f t="shared" si="70"/>
        <v>7000</v>
      </c>
      <c r="I95" s="413">
        <f t="shared" si="70"/>
        <v>7000</v>
      </c>
      <c r="J95" s="413">
        <f t="shared" si="70"/>
        <v>0</v>
      </c>
      <c r="K95" s="413">
        <f t="shared" si="70"/>
        <v>7000</v>
      </c>
      <c r="L95" s="413">
        <f t="shared" si="70"/>
        <v>21000</v>
      </c>
      <c r="M95" s="413">
        <f t="shared" si="70"/>
        <v>7000</v>
      </c>
      <c r="N95" s="413">
        <f t="shared" si="70"/>
        <v>0</v>
      </c>
      <c r="O95" s="413">
        <f t="shared" si="70"/>
        <v>7000</v>
      </c>
      <c r="P95" s="413">
        <f t="shared" si="70"/>
        <v>7000</v>
      </c>
      <c r="Q95" s="413">
        <f t="shared" si="70"/>
        <v>0</v>
      </c>
      <c r="R95" s="413">
        <f t="shared" si="70"/>
        <v>7000</v>
      </c>
      <c r="S95" s="413">
        <f t="shared" si="70"/>
        <v>7000</v>
      </c>
      <c r="T95" s="413">
        <f t="shared" si="70"/>
        <v>0</v>
      </c>
      <c r="U95" s="413">
        <f t="shared" si="70"/>
        <v>7000</v>
      </c>
      <c r="V95" s="413">
        <f t="shared" si="70"/>
        <v>21000</v>
      </c>
      <c r="W95" s="413">
        <f t="shared" si="70"/>
        <v>7000</v>
      </c>
      <c r="X95" s="413">
        <f t="shared" si="70"/>
        <v>0</v>
      </c>
      <c r="Y95" s="413">
        <f t="shared" si="70"/>
        <v>7000</v>
      </c>
      <c r="Z95" s="413">
        <f t="shared" si="70"/>
        <v>7000</v>
      </c>
      <c r="AA95" s="413">
        <f t="shared" si="70"/>
        <v>0</v>
      </c>
      <c r="AB95" s="413">
        <f t="shared" si="70"/>
        <v>7000</v>
      </c>
      <c r="AC95" s="413">
        <f t="shared" si="70"/>
        <v>7000</v>
      </c>
      <c r="AD95" s="413">
        <f t="shared" si="70"/>
        <v>0</v>
      </c>
      <c r="AE95" s="413">
        <f t="shared" si="70"/>
        <v>7000</v>
      </c>
      <c r="AF95" s="413">
        <f t="shared" si="70"/>
        <v>21000</v>
      </c>
      <c r="AG95" s="413">
        <f t="shared" si="70"/>
        <v>7000</v>
      </c>
      <c r="AH95" s="413">
        <f t="shared" si="70"/>
        <v>0</v>
      </c>
      <c r="AI95" s="413">
        <f t="shared" si="70"/>
        <v>7000</v>
      </c>
      <c r="AJ95" s="413">
        <f t="shared" si="70"/>
        <v>7000</v>
      </c>
      <c r="AK95" s="413">
        <f t="shared" si="70"/>
        <v>0</v>
      </c>
      <c r="AL95" s="413">
        <f t="shared" si="70"/>
        <v>7000</v>
      </c>
      <c r="AM95" s="413">
        <f t="shared" si="70"/>
        <v>9063</v>
      </c>
      <c r="AN95" s="413">
        <f t="shared" si="70"/>
        <v>0</v>
      </c>
      <c r="AO95" s="413">
        <f t="shared" si="70"/>
        <v>9063</v>
      </c>
      <c r="AP95" s="413">
        <f t="shared" si="70"/>
        <v>23063</v>
      </c>
      <c r="AQ95" s="413">
        <f t="shared" si="70"/>
        <v>86063</v>
      </c>
      <c r="AR95" s="413">
        <f t="shared" si="70"/>
        <v>0</v>
      </c>
      <c r="AS95" s="413">
        <f t="shared" si="70"/>
        <v>86063</v>
      </c>
    </row>
  </sheetData>
  <sheetProtection password="A01C" sheet="1"/>
  <mergeCells count="24">
    <mergeCell ref="C6:L6"/>
    <mergeCell ref="AC7:AE7"/>
    <mergeCell ref="B7:B8"/>
    <mergeCell ref="C7:E7"/>
    <mergeCell ref="F7:H7"/>
    <mergeCell ref="I7:K7"/>
    <mergeCell ref="L7:L8"/>
    <mergeCell ref="V7:V8"/>
    <mergeCell ref="M6:V6"/>
    <mergeCell ref="M7:O7"/>
    <mergeCell ref="P7:R7"/>
    <mergeCell ref="S7:U7"/>
    <mergeCell ref="AP7:AP8"/>
    <mergeCell ref="AR6:AR8"/>
    <mergeCell ref="AS6:AS8"/>
    <mergeCell ref="W6:AF6"/>
    <mergeCell ref="AG6:AP6"/>
    <mergeCell ref="W7:Y7"/>
    <mergeCell ref="Z7:AB7"/>
    <mergeCell ref="AQ6:AQ8"/>
    <mergeCell ref="AG7:AI7"/>
    <mergeCell ref="AJ7:AL7"/>
    <mergeCell ref="AM7:AO7"/>
    <mergeCell ref="AF7:AF8"/>
  </mergeCells>
  <pageMargins left="0.23622047244094491" right="0.19685039370078741" top="0.35433070866141736" bottom="0.35433070866141736" header="0.15748031496062992" footer="0.19685039370078741"/>
  <pageSetup paperSize="8" scale="29" fitToWidth="11" orientation="landscape" r:id="rId1"/>
  <headerFooter>
    <oddHeader>&amp;L&amp;14&amp;K000000Piano di cassa dei flussi prospettici&amp;R&amp;14&amp;D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AQ43"/>
  <sheetViews>
    <sheetView showGridLines="0" topLeftCell="B19" zoomScale="50" zoomScaleNormal="50" workbookViewId="0">
      <selection activeCell="D36" sqref="D36"/>
    </sheetView>
  </sheetViews>
  <sheetFormatPr defaultRowHeight="15" x14ac:dyDescent="0.25"/>
  <cols>
    <col min="1" max="1" width="10.7109375" style="49" hidden="1" customWidth="1"/>
    <col min="2" max="2" width="99.85546875" style="49" customWidth="1"/>
    <col min="3" max="6" width="40.7109375" style="49" customWidth="1"/>
    <col min="7" max="7" width="17.7109375" style="49" customWidth="1"/>
    <col min="8" max="8" width="12.140625" style="388" customWidth="1"/>
    <col min="9" max="9" width="20.140625" style="49" hidden="1" customWidth="1"/>
    <col min="10" max="10" width="35.7109375" style="388" customWidth="1"/>
    <col min="11" max="11" width="30" style="49" customWidth="1"/>
    <col min="12" max="12" width="32.85546875" style="49" customWidth="1"/>
    <col min="13" max="13" width="30" style="49" customWidth="1"/>
    <col min="14" max="14" width="31.7109375" style="49" customWidth="1"/>
    <col min="15" max="15" width="25.140625" style="49" customWidth="1"/>
    <col min="16" max="16" width="30" style="49" customWidth="1"/>
    <col min="17" max="17" width="36.28515625" style="49" customWidth="1"/>
    <col min="18" max="18" width="30" style="49" customWidth="1"/>
    <col min="19" max="19" width="32.7109375" style="49" customWidth="1"/>
    <col min="20" max="16384" width="9.140625" style="49"/>
  </cols>
  <sheetData>
    <row r="1" spans="1:43" x14ac:dyDescent="0.25">
      <c r="P1" s="380">
        <v>0</v>
      </c>
      <c r="Q1" s="380">
        <v>0</v>
      </c>
      <c r="R1" s="380">
        <v>0</v>
      </c>
      <c r="S1" s="381">
        <v>0</v>
      </c>
    </row>
    <row r="2" spans="1:43" ht="18.75" x14ac:dyDescent="0.25">
      <c r="B2" s="128" t="s">
        <v>311</v>
      </c>
      <c r="C2" s="129" t="s">
        <v>312</v>
      </c>
      <c r="P2" s="380">
        <v>0</v>
      </c>
      <c r="Q2" s="380">
        <v>0</v>
      </c>
      <c r="R2" s="380">
        <v>0</v>
      </c>
      <c r="S2" s="381">
        <v>0</v>
      </c>
    </row>
    <row r="3" spans="1:43" ht="26.25" x14ac:dyDescent="0.25">
      <c r="B3" s="130" t="str">
        <f>Info!$C$2</f>
        <v>ASST SANTI PAOLO E CARLO</v>
      </c>
      <c r="C3" s="130" t="str">
        <f>Info!$B$2</f>
        <v>702</v>
      </c>
      <c r="P3" s="380">
        <v>0</v>
      </c>
      <c r="Q3" s="380">
        <v>0</v>
      </c>
      <c r="R3" s="380">
        <v>0</v>
      </c>
      <c r="S3" s="381">
        <v>0</v>
      </c>
    </row>
    <row r="4" spans="1:43" x14ac:dyDescent="0.25">
      <c r="P4" s="380">
        <v>0</v>
      </c>
      <c r="Q4" s="380">
        <v>0</v>
      </c>
      <c r="R4" s="380">
        <v>0</v>
      </c>
      <c r="S4" s="381">
        <v>0</v>
      </c>
    </row>
    <row r="5" spans="1:43" s="53" customFormat="1" ht="26.25" customHeight="1" x14ac:dyDescent="0.25">
      <c r="B5" s="130" t="s">
        <v>485</v>
      </c>
      <c r="C5" s="55"/>
      <c r="D5" s="55"/>
      <c r="E5" s="55"/>
      <c r="F5" s="55"/>
      <c r="G5" s="55"/>
      <c r="H5" s="389"/>
      <c r="I5" s="55"/>
      <c r="J5" s="389"/>
      <c r="K5" s="472" t="s">
        <v>486</v>
      </c>
      <c r="L5" s="473"/>
      <c r="M5" s="473"/>
      <c r="N5" s="473"/>
      <c r="O5" s="473"/>
      <c r="P5" s="473"/>
      <c r="Q5" s="473"/>
      <c r="R5" s="473"/>
      <c r="S5" s="473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1:43" x14ac:dyDescent="0.25">
      <c r="P6" s="380">
        <v>0</v>
      </c>
      <c r="Q6" s="380">
        <v>0</v>
      </c>
      <c r="R6" s="380">
        <v>0</v>
      </c>
      <c r="S6" s="381">
        <v>0</v>
      </c>
    </row>
    <row r="7" spans="1:43" ht="50.1" customHeight="1" x14ac:dyDescent="0.25">
      <c r="B7" s="56" t="s">
        <v>487</v>
      </c>
      <c r="J7" s="423" t="str">
        <f>IF(OR($C$13&lt;=0,$C$14&lt;=0,$C$22&lt;=0,$C$23&lt;=0,$M$22&lt;=0,$M$23&lt;=0,$R$22&lt;=0,$R$23&lt;=0),"Lo split payment non è stato indicato","Lo split payment è stato indicato")</f>
        <v>Lo split payment è stato indicato</v>
      </c>
      <c r="K7" s="425" t="s">
        <v>488</v>
      </c>
      <c r="P7" s="380">
        <v>0</v>
      </c>
      <c r="Q7" s="380">
        <v>0</v>
      </c>
      <c r="R7" s="380">
        <v>0</v>
      </c>
      <c r="S7" s="381">
        <v>0</v>
      </c>
    </row>
    <row r="8" spans="1:43" ht="15.75" thickBot="1" x14ac:dyDescent="0.3">
      <c r="P8" s="380"/>
      <c r="Q8" s="380"/>
      <c r="R8" s="380"/>
      <c r="S8" s="380"/>
    </row>
    <row r="9" spans="1:43" s="57" customFormat="1" ht="87.75" customHeight="1" x14ac:dyDescent="0.3">
      <c r="B9" s="58" t="s">
        <v>489</v>
      </c>
      <c r="C9" s="344" t="s">
        <v>490</v>
      </c>
      <c r="D9" s="345" t="s">
        <v>491</v>
      </c>
      <c r="E9" s="346" t="s">
        <v>492</v>
      </c>
      <c r="F9" s="347" t="s">
        <v>493</v>
      </c>
      <c r="G9" s="348" t="s">
        <v>494</v>
      </c>
      <c r="H9" s="390"/>
      <c r="I9" s="61" t="s">
        <v>495</v>
      </c>
      <c r="J9" s="394"/>
      <c r="K9" s="62" t="s">
        <v>496</v>
      </c>
      <c r="L9" s="59" t="s">
        <v>497</v>
      </c>
      <c r="M9" s="59" t="s">
        <v>498</v>
      </c>
      <c r="N9" s="60" t="s">
        <v>499</v>
      </c>
      <c r="P9" s="380">
        <v>0</v>
      </c>
      <c r="Q9" s="380">
        <v>0</v>
      </c>
      <c r="R9" s="380">
        <v>0</v>
      </c>
      <c r="S9" s="381">
        <v>0</v>
      </c>
    </row>
    <row r="10" spans="1:43" ht="27.75" customHeight="1" x14ac:dyDescent="0.3">
      <c r="A10" s="49" t="s">
        <v>500</v>
      </c>
      <c r="B10" s="217" t="s">
        <v>501</v>
      </c>
      <c r="C10" s="349">
        <v>41109</v>
      </c>
      <c r="D10" s="350">
        <v>253</v>
      </c>
      <c r="E10" s="218">
        <v>0</v>
      </c>
      <c r="F10" s="351">
        <v>0</v>
      </c>
      <c r="G10" s="368">
        <f>C10-D10-E10-F10</f>
        <v>40856</v>
      </c>
      <c r="I10" s="245"/>
      <c r="J10" s="395"/>
      <c r="K10" s="228">
        <f>C10</f>
        <v>41109</v>
      </c>
      <c r="L10" s="249"/>
      <c r="M10" s="218">
        <v>253</v>
      </c>
      <c r="N10" s="219">
        <f>K10-L10-M10</f>
        <v>40856</v>
      </c>
      <c r="P10" s="380">
        <v>0</v>
      </c>
      <c r="Q10" s="380">
        <v>0</v>
      </c>
      <c r="R10" s="380">
        <v>0</v>
      </c>
      <c r="S10" s="381">
        <v>0</v>
      </c>
    </row>
    <row r="11" spans="1:43" ht="26.25" x14ac:dyDescent="0.4">
      <c r="A11" s="49" t="s">
        <v>502</v>
      </c>
      <c r="B11" s="220" t="s">
        <v>503</v>
      </c>
      <c r="C11" s="352">
        <v>130180</v>
      </c>
      <c r="D11" s="353">
        <v>0</v>
      </c>
      <c r="E11" s="221">
        <v>0</v>
      </c>
      <c r="F11" s="354">
        <v>0</v>
      </c>
      <c r="G11" s="367">
        <f>C11-D11-E11-F11</f>
        <v>130180</v>
      </c>
      <c r="I11" s="224"/>
      <c r="J11" s="396"/>
      <c r="K11" s="229">
        <f>C11</f>
        <v>130180</v>
      </c>
      <c r="L11" s="141">
        <v>0</v>
      </c>
      <c r="M11" s="365">
        <v>0</v>
      </c>
      <c r="N11" s="222">
        <f>K11-L11-M11</f>
        <v>130180</v>
      </c>
      <c r="P11" s="380">
        <v>0</v>
      </c>
      <c r="Q11" s="380">
        <v>0</v>
      </c>
      <c r="R11" s="380">
        <v>0</v>
      </c>
      <c r="S11" s="381">
        <v>0</v>
      </c>
    </row>
    <row r="12" spans="1:43" ht="26.25" x14ac:dyDescent="0.4">
      <c r="A12" s="49" t="s">
        <v>504</v>
      </c>
      <c r="B12" s="63" t="s">
        <v>505</v>
      </c>
      <c r="C12" s="355">
        <f>SUM(C10:C11)</f>
        <v>171289</v>
      </c>
      <c r="D12" s="356">
        <f>SUM(D10:D11)</f>
        <v>253</v>
      </c>
      <c r="E12" s="64">
        <f>SUM(E10:E11)</f>
        <v>0</v>
      </c>
      <c r="F12" s="357">
        <f>SUM(F10:F11)</f>
        <v>0</v>
      </c>
      <c r="G12" s="358">
        <f>C12-D12-E12-F12</f>
        <v>171036</v>
      </c>
      <c r="I12" s="246"/>
      <c r="J12" s="415" t="str">
        <f>IF(ROUND($K$12+$K$25,0)=ROUND('Assegnazione da Regione sk1'!$E$24,0),"OK","ERRORE COD. 2")</f>
        <v>OK</v>
      </c>
      <c r="K12" s="64">
        <f>SUM(K10:K11)</f>
        <v>171289</v>
      </c>
      <c r="L12" s="64">
        <f>SUM(L10:L11)</f>
        <v>0</v>
      </c>
      <c r="M12" s="64">
        <f>SUM(M10:M11)</f>
        <v>253</v>
      </c>
      <c r="N12" s="64">
        <f>SUM(N10:N11)</f>
        <v>171036</v>
      </c>
      <c r="P12" s="380">
        <v>0</v>
      </c>
      <c r="Q12" s="380">
        <v>0</v>
      </c>
      <c r="R12" s="380">
        <v>0</v>
      </c>
      <c r="S12" s="381">
        <v>0</v>
      </c>
    </row>
    <row r="13" spans="1:43" ht="50.1" customHeight="1" x14ac:dyDescent="0.4">
      <c r="A13" s="49" t="s">
        <v>506</v>
      </c>
      <c r="B13" s="223" t="s">
        <v>507</v>
      </c>
      <c r="C13" s="359">
        <v>5344</v>
      </c>
      <c r="D13" s="366"/>
      <c r="E13" s="370"/>
      <c r="F13" s="371"/>
      <c r="G13" s="366"/>
      <c r="I13" s="243"/>
      <c r="K13" s="249"/>
      <c r="L13" s="249"/>
      <c r="M13" s="219">
        <f>C13</f>
        <v>5344</v>
      </c>
      <c r="N13" s="249"/>
      <c r="O13" s="66"/>
      <c r="P13" s="382"/>
      <c r="Q13" s="382"/>
      <c r="R13" s="380"/>
      <c r="S13" s="380"/>
    </row>
    <row r="14" spans="1:43" ht="50.1" customHeight="1" thickBot="1" x14ac:dyDescent="0.45">
      <c r="A14" s="49" t="s">
        <v>508</v>
      </c>
      <c r="B14" s="225" t="s">
        <v>509</v>
      </c>
      <c r="C14" s="360">
        <v>16923</v>
      </c>
      <c r="D14" s="372"/>
      <c r="E14" s="373"/>
      <c r="F14" s="374"/>
      <c r="G14" s="369"/>
      <c r="I14" s="244"/>
      <c r="K14" s="361"/>
      <c r="L14" s="361"/>
      <c r="M14" s="242">
        <f>C14</f>
        <v>16923</v>
      </c>
      <c r="N14" s="361"/>
      <c r="O14" s="66"/>
      <c r="P14" s="380">
        <v>0</v>
      </c>
      <c r="Q14" s="380">
        <v>0</v>
      </c>
      <c r="R14" s="380">
        <v>0</v>
      </c>
      <c r="S14" s="381">
        <v>0</v>
      </c>
    </row>
    <row r="15" spans="1:43" ht="26.25" x14ac:dyDescent="0.4">
      <c r="B15" s="66"/>
      <c r="C15" s="66"/>
      <c r="D15" s="66"/>
      <c r="E15" s="66"/>
      <c r="F15" s="66"/>
      <c r="G15" s="66"/>
      <c r="H15" s="391"/>
      <c r="I15" s="66"/>
      <c r="J15" s="421"/>
      <c r="K15" s="66"/>
      <c r="L15" s="66"/>
      <c r="M15" s="66"/>
      <c r="N15" s="66"/>
      <c r="O15" s="66"/>
      <c r="P15" s="380">
        <v>0</v>
      </c>
      <c r="Q15" s="380">
        <v>0</v>
      </c>
      <c r="R15" s="380">
        <v>0</v>
      </c>
      <c r="S15" s="381">
        <v>0</v>
      </c>
    </row>
    <row r="16" spans="1:43" ht="26.25" x14ac:dyDescent="0.25">
      <c r="B16" s="56" t="s">
        <v>510</v>
      </c>
      <c r="P16" s="380">
        <v>0</v>
      </c>
      <c r="Q16" s="380">
        <v>0</v>
      </c>
      <c r="R16" s="380">
        <v>0</v>
      </c>
      <c r="S16" s="381">
        <v>0</v>
      </c>
    </row>
    <row r="17" spans="1:24" ht="15.75" thickBot="1" x14ac:dyDescent="0.3">
      <c r="P17" s="383"/>
      <c r="Q17" s="383"/>
      <c r="R17" s="383"/>
      <c r="S17" s="383"/>
    </row>
    <row r="18" spans="1:24" s="57" customFormat="1" ht="81" customHeight="1" x14ac:dyDescent="0.3">
      <c r="B18" s="58" t="s">
        <v>511</v>
      </c>
      <c r="C18" s="344" t="s">
        <v>490</v>
      </c>
      <c r="D18" s="345" t="s">
        <v>491</v>
      </c>
      <c r="E18" s="346" t="s">
        <v>492</v>
      </c>
      <c r="F18" s="347" t="s">
        <v>493</v>
      </c>
      <c r="G18" s="348" t="s">
        <v>494</v>
      </c>
      <c r="H18" s="390"/>
      <c r="I18" s="61" t="s">
        <v>495</v>
      </c>
      <c r="J18" s="393"/>
      <c r="K18" s="62" t="s">
        <v>512</v>
      </c>
      <c r="L18" s="59" t="s">
        <v>497</v>
      </c>
      <c r="M18" s="59" t="s">
        <v>498</v>
      </c>
      <c r="N18" s="60" t="s">
        <v>499</v>
      </c>
      <c r="P18" s="384" t="s">
        <v>513</v>
      </c>
      <c r="Q18" s="385" t="s">
        <v>514</v>
      </c>
      <c r="R18" s="385" t="s">
        <v>498</v>
      </c>
      <c r="S18" s="386" t="s">
        <v>515</v>
      </c>
      <c r="U18" s="49"/>
      <c r="V18" s="49"/>
      <c r="W18" s="49"/>
      <c r="X18" s="49"/>
    </row>
    <row r="19" spans="1:24" ht="36.75" customHeight="1" x14ac:dyDescent="0.3">
      <c r="A19" s="49" t="s">
        <v>516</v>
      </c>
      <c r="B19" s="217" t="s">
        <v>501</v>
      </c>
      <c r="C19" s="349">
        <v>0</v>
      </c>
      <c r="D19" s="350">
        <v>0</v>
      </c>
      <c r="E19" s="218">
        <v>0</v>
      </c>
      <c r="F19" s="351">
        <v>0</v>
      </c>
      <c r="G19" s="368">
        <f>C19-D19-E19-F19</f>
        <v>0</v>
      </c>
      <c r="I19" s="245"/>
      <c r="J19" s="396"/>
      <c r="K19" s="218">
        <v>0</v>
      </c>
      <c r="L19" s="249"/>
      <c r="M19" s="218">
        <v>0</v>
      </c>
      <c r="N19" s="219">
        <f>K19-L19-M19</f>
        <v>0</v>
      </c>
      <c r="O19" s="422" t="str">
        <f>IF($C$19=$K$19+$P$19,"OK","ERRORE COD. 4")</f>
        <v>OK</v>
      </c>
      <c r="P19" s="218">
        <v>0</v>
      </c>
      <c r="Q19" s="249"/>
      <c r="R19" s="218">
        <v>0</v>
      </c>
      <c r="S19" s="219">
        <f>P19-Q19-R19</f>
        <v>0</v>
      </c>
    </row>
    <row r="20" spans="1:24" ht="26.25" x14ac:dyDescent="0.4">
      <c r="A20" s="49" t="s">
        <v>517</v>
      </c>
      <c r="B20" s="220" t="s">
        <v>503</v>
      </c>
      <c r="C20" s="352">
        <v>0</v>
      </c>
      <c r="D20" s="353">
        <v>0</v>
      </c>
      <c r="E20" s="221">
        <v>0</v>
      </c>
      <c r="F20" s="354">
        <v>0</v>
      </c>
      <c r="G20" s="367">
        <f>C20-D20-E20-F20</f>
        <v>0</v>
      </c>
      <c r="I20" s="237"/>
      <c r="J20" s="415" t="str">
        <f>IF($K$20=ROUND('Assegnazione da Regione sk1'!$F$46,0),"OK","ERRORE COD. 3")</f>
        <v>OK</v>
      </c>
      <c r="K20" s="387">
        <v>0</v>
      </c>
      <c r="L20" s="376">
        <v>0</v>
      </c>
      <c r="M20" s="365">
        <v>0</v>
      </c>
      <c r="N20" s="222">
        <f>K20-L20-M20</f>
        <v>0</v>
      </c>
      <c r="O20" s="415" t="str">
        <f>IF($C$20=$K$20+$P$20,"OK","ERRORE COD. 5")</f>
        <v>OK</v>
      </c>
      <c r="P20" s="375">
        <v>0</v>
      </c>
      <c r="Q20" s="376">
        <v>0</v>
      </c>
      <c r="R20" s="365">
        <v>0</v>
      </c>
      <c r="S20" s="222">
        <f>P20-Q20-R20</f>
        <v>0</v>
      </c>
    </row>
    <row r="21" spans="1:24" ht="26.25" x14ac:dyDescent="0.4">
      <c r="A21" s="49" t="s">
        <v>518</v>
      </c>
      <c r="B21" s="63" t="s">
        <v>519</v>
      </c>
      <c r="C21" s="355">
        <f>SUM(C19:C20)</f>
        <v>0</v>
      </c>
      <c r="D21" s="356">
        <f>SUM(D19:D20)</f>
        <v>0</v>
      </c>
      <c r="E21" s="64">
        <f>SUM(E19:E20)</f>
        <v>0</v>
      </c>
      <c r="F21" s="357">
        <f>SUM(F19:F20)</f>
        <v>0</v>
      </c>
      <c r="G21" s="358">
        <f>SUM(G19:G20)</f>
        <v>0</v>
      </c>
      <c r="I21" s="65"/>
      <c r="J21" s="395"/>
      <c r="K21" s="64">
        <f>SUM(K19:K20)</f>
        <v>0</v>
      </c>
      <c r="L21" s="64">
        <f>SUM(L19:L20)</f>
        <v>0</v>
      </c>
      <c r="M21" s="64">
        <f>SUM(M19:M20)</f>
        <v>0</v>
      </c>
      <c r="N21" s="64">
        <f>SUM(N19:N20)</f>
        <v>0</v>
      </c>
      <c r="P21" s="64">
        <f>SUM(P19:P20)</f>
        <v>0</v>
      </c>
      <c r="Q21" s="64">
        <f>SUM(Q19:Q20)</f>
        <v>0</v>
      </c>
      <c r="R21" s="64">
        <f>SUM(R19:R20)</f>
        <v>0</v>
      </c>
      <c r="S21" s="64">
        <f>SUM(S19:S20)</f>
        <v>0</v>
      </c>
    </row>
    <row r="22" spans="1:24" ht="50.1" customHeight="1" x14ac:dyDescent="0.4">
      <c r="A22" s="49" t="s">
        <v>520</v>
      </c>
      <c r="B22" s="223" t="s">
        <v>507</v>
      </c>
      <c r="C22" s="359">
        <v>0.1</v>
      </c>
      <c r="D22" s="366"/>
      <c r="E22" s="370"/>
      <c r="F22" s="371"/>
      <c r="G22" s="366"/>
      <c r="I22" s="243"/>
      <c r="J22" s="393"/>
      <c r="K22" s="249"/>
      <c r="L22" s="249"/>
      <c r="M22" s="218">
        <v>0.1</v>
      </c>
      <c r="N22" s="249"/>
      <c r="P22" s="249"/>
      <c r="Q22" s="249"/>
      <c r="R22" s="218">
        <v>0.1</v>
      </c>
      <c r="S22" s="249"/>
    </row>
    <row r="23" spans="1:24" ht="50.1" customHeight="1" thickBot="1" x14ac:dyDescent="0.45">
      <c r="A23" s="49" t="s">
        <v>521</v>
      </c>
      <c r="B23" s="225" t="s">
        <v>509</v>
      </c>
      <c r="C23" s="360">
        <v>0.1</v>
      </c>
      <c r="D23" s="372"/>
      <c r="E23" s="373"/>
      <c r="F23" s="374"/>
      <c r="G23" s="369"/>
      <c r="I23" s="244"/>
      <c r="J23" s="393"/>
      <c r="K23" s="361"/>
      <c r="L23" s="361"/>
      <c r="M23" s="377">
        <v>0.1</v>
      </c>
      <c r="N23" s="361"/>
      <c r="P23" s="361"/>
      <c r="Q23" s="361"/>
      <c r="R23" s="377">
        <v>0.1</v>
      </c>
      <c r="S23" s="361"/>
    </row>
    <row r="24" spans="1:24" ht="26.25" x14ac:dyDescent="0.4">
      <c r="B24" s="66"/>
      <c r="C24" s="66"/>
      <c r="D24" s="66"/>
      <c r="E24" s="66"/>
      <c r="F24" s="66"/>
      <c r="G24" s="66"/>
      <c r="H24" s="391"/>
      <c r="I24" s="66"/>
      <c r="J24" s="391"/>
      <c r="K24" s="66"/>
      <c r="L24" s="66"/>
      <c r="M24" s="66"/>
      <c r="N24" s="66"/>
      <c r="O24" s="66"/>
      <c r="P24" s="66"/>
      <c r="Q24" s="66"/>
    </row>
    <row r="25" spans="1:24" ht="26.25" x14ac:dyDescent="0.4">
      <c r="A25" s="49" t="s">
        <v>522</v>
      </c>
      <c r="B25" s="241" t="s">
        <v>523</v>
      </c>
      <c r="C25" s="378">
        <f>K25</f>
        <v>95383</v>
      </c>
      <c r="D25" s="240"/>
      <c r="E25" s="379"/>
      <c r="F25" s="379"/>
      <c r="G25" s="240"/>
      <c r="I25" s="247"/>
      <c r="J25" s="388" t="str">
        <f>IF($K$12+$K$25='Assegnazione da Regione sk1'!$E$24,"OK","Squadratura")</f>
        <v>Squadratura</v>
      </c>
      <c r="K25" s="248">
        <v>95383</v>
      </c>
      <c r="L25" s="240"/>
      <c r="M25" s="248">
        <v>0</v>
      </c>
      <c r="N25" s="362">
        <f>K25-M25</f>
        <v>95383</v>
      </c>
      <c r="O25" s="66"/>
      <c r="P25" s="399">
        <v>0</v>
      </c>
      <c r="Q25" s="379"/>
      <c r="R25" s="399">
        <v>0</v>
      </c>
      <c r="S25" s="378">
        <f>P25-R25</f>
        <v>0</v>
      </c>
    </row>
    <row r="26" spans="1:24" ht="26.25" x14ac:dyDescent="0.4">
      <c r="A26" s="49" t="s">
        <v>524</v>
      </c>
      <c r="B26" s="238" t="s">
        <v>525</v>
      </c>
      <c r="C26" s="85">
        <f>C12+C25+C21</f>
        <v>266672</v>
      </c>
      <c r="D26" s="363"/>
      <c r="E26" s="363"/>
      <c r="F26" s="363"/>
      <c r="G26" s="363"/>
      <c r="I26" s="239"/>
      <c r="K26" s="85">
        <f>K12+K25+K21</f>
        <v>266672</v>
      </c>
      <c r="L26" s="85">
        <f>L12+L21</f>
        <v>0</v>
      </c>
      <c r="M26" s="85">
        <f>M12+M25+M21</f>
        <v>253</v>
      </c>
      <c r="N26" s="85">
        <f>K26-L26-M26</f>
        <v>266419</v>
      </c>
      <c r="O26" s="66"/>
      <c r="P26" s="85">
        <f>P21+P25</f>
        <v>0</v>
      </c>
      <c r="Q26" s="85">
        <f>Q21</f>
        <v>0</v>
      </c>
      <c r="R26" s="85">
        <f>R21+R25</f>
        <v>0</v>
      </c>
      <c r="S26" s="85">
        <f>S21+S25</f>
        <v>0</v>
      </c>
    </row>
    <row r="27" spans="1:24" ht="26.25" x14ac:dyDescent="0.4">
      <c r="B27" s="66"/>
      <c r="C27" s="66"/>
      <c r="D27" s="66"/>
      <c r="E27" s="66"/>
      <c r="F27" s="66"/>
      <c r="G27" s="66"/>
      <c r="H27" s="391"/>
      <c r="I27" s="66"/>
      <c r="J27" s="391"/>
      <c r="K27" s="66"/>
      <c r="L27" s="66"/>
      <c r="M27" s="66"/>
      <c r="N27" s="66"/>
      <c r="O27" s="66"/>
      <c r="P27" s="66"/>
      <c r="Q27" s="66"/>
    </row>
    <row r="28" spans="1:24" ht="26.25" x14ac:dyDescent="0.4">
      <c r="B28" s="66"/>
      <c r="C28" s="66"/>
      <c r="D28" s="66"/>
      <c r="E28" s="364"/>
      <c r="F28" s="66"/>
      <c r="G28" s="66"/>
      <c r="H28" s="391"/>
      <c r="I28" s="66"/>
      <c r="J28" s="391"/>
      <c r="K28" s="66"/>
      <c r="L28" s="66"/>
      <c r="M28" s="364"/>
      <c r="N28" s="66"/>
      <c r="O28" s="66"/>
      <c r="P28" s="66"/>
      <c r="Q28" s="66"/>
    </row>
    <row r="30" spans="1:24" ht="80.25" customHeight="1" x14ac:dyDescent="0.25">
      <c r="B30" s="474" t="s">
        <v>526</v>
      </c>
      <c r="C30" s="250" t="s">
        <v>527</v>
      </c>
      <c r="D30" s="250" t="s">
        <v>528</v>
      </c>
      <c r="E30" s="250" t="s">
        <v>529</v>
      </c>
      <c r="F30" s="250" t="s">
        <v>530</v>
      </c>
      <c r="G30" s="348" t="s">
        <v>494</v>
      </c>
      <c r="H30" s="396"/>
      <c r="K30" s="250" t="s">
        <v>531</v>
      </c>
      <c r="L30" s="250" t="s">
        <v>532</v>
      </c>
      <c r="M30" s="250" t="s">
        <v>533</v>
      </c>
      <c r="N30" s="250" t="s">
        <v>515</v>
      </c>
      <c r="P30" s="250" t="s">
        <v>534</v>
      </c>
      <c r="Q30" s="250" t="s">
        <v>535</v>
      </c>
      <c r="R30" s="250" t="s">
        <v>533</v>
      </c>
      <c r="S30" s="250" t="s">
        <v>515</v>
      </c>
    </row>
    <row r="31" spans="1:24" ht="27.75" customHeight="1" x14ac:dyDescent="0.35">
      <c r="A31" s="251" t="s">
        <v>536</v>
      </c>
      <c r="B31" s="475"/>
      <c r="C31" s="216">
        <f>+C12+C21+C25</f>
        <v>266672</v>
      </c>
      <c r="D31" s="216">
        <f>+D12+D21</f>
        <v>253</v>
      </c>
      <c r="E31" s="216">
        <f>+E12+E21</f>
        <v>0</v>
      </c>
      <c r="F31" s="216">
        <f>F12+F21</f>
        <v>0</v>
      </c>
      <c r="G31" s="216">
        <f>C31-D31-E31-F31</f>
        <v>266419</v>
      </c>
      <c r="K31" s="216">
        <f>K12+K21+K25</f>
        <v>266672</v>
      </c>
      <c r="L31" s="216">
        <f>+L12+L21</f>
        <v>0</v>
      </c>
      <c r="M31" s="216">
        <f>M12+M21+M25</f>
        <v>253</v>
      </c>
      <c r="N31" s="216">
        <f>+N12+N21+N25</f>
        <v>266419</v>
      </c>
      <c r="O31" s="415" t="str">
        <f>IF($P$31=ROUND('Assegnazione da Regione sk1'!$F$9,0),"OK","ERRORE COD. 1")</f>
        <v>OK</v>
      </c>
      <c r="P31" s="216">
        <f>+P21+P25</f>
        <v>0</v>
      </c>
      <c r="Q31" s="216">
        <f>+Q21</f>
        <v>0</v>
      </c>
      <c r="R31" s="216">
        <f>+R21+R25</f>
        <v>0</v>
      </c>
      <c r="S31" s="216">
        <f>+S21+S25</f>
        <v>0</v>
      </c>
    </row>
    <row r="34" spans="1:14" s="57" customFormat="1" ht="59.25" customHeight="1" x14ac:dyDescent="0.3">
      <c r="B34" s="67" t="s">
        <v>537</v>
      </c>
      <c r="C34" s="59" t="str">
        <f>"all'1.1."&amp;Info!$B$3</f>
        <v>all'1.1.2017</v>
      </c>
      <c r="D34" s="59" t="s">
        <v>538</v>
      </c>
      <c r="E34" s="59" t="s">
        <v>539</v>
      </c>
      <c r="F34" s="59" t="s">
        <v>493</v>
      </c>
      <c r="G34" s="60" t="s">
        <v>540</v>
      </c>
      <c r="H34" s="388"/>
      <c r="I34" s="61" t="s">
        <v>495</v>
      </c>
      <c r="J34" s="390"/>
      <c r="K34" s="59" t="s">
        <v>541</v>
      </c>
      <c r="L34" s="59" t="s">
        <v>542</v>
      </c>
      <c r="M34" s="59" t="s">
        <v>543</v>
      </c>
      <c r="N34" s="60" t="s">
        <v>540</v>
      </c>
    </row>
    <row r="35" spans="1:14" ht="24.75" customHeight="1" x14ac:dyDescent="0.3">
      <c r="A35" s="49" t="s">
        <v>544</v>
      </c>
      <c r="B35" s="217" t="s">
        <v>545</v>
      </c>
      <c r="C35" s="218">
        <f>2930+9897+322+6500</f>
        <v>19649</v>
      </c>
      <c r="D35" s="162">
        <v>1643</v>
      </c>
      <c r="E35" s="218">
        <f>322+633</f>
        <v>955</v>
      </c>
      <c r="F35" s="218">
        <v>0</v>
      </c>
      <c r="G35" s="219">
        <f>C35-D35-E35-F35</f>
        <v>17051</v>
      </c>
      <c r="I35" s="245"/>
      <c r="K35" s="218">
        <v>13149</v>
      </c>
      <c r="L35" s="162">
        <v>0</v>
      </c>
      <c r="M35" s="218">
        <v>0</v>
      </c>
      <c r="N35" s="219">
        <f>K35-L35-M35</f>
        <v>13149</v>
      </c>
    </row>
    <row r="36" spans="1:14" ht="26.25" x14ac:dyDescent="0.4">
      <c r="A36" s="49" t="s">
        <v>546</v>
      </c>
      <c r="B36" s="220" t="s">
        <v>547</v>
      </c>
      <c r="C36" s="221">
        <f>20626+18500</f>
        <v>39126</v>
      </c>
      <c r="D36" s="141">
        <v>6708</v>
      </c>
      <c r="E36" s="221">
        <v>2641</v>
      </c>
      <c r="F36" s="221">
        <v>0</v>
      </c>
      <c r="G36" s="222">
        <f>C36-D36-E36-F36</f>
        <v>29777</v>
      </c>
      <c r="I36" s="224"/>
      <c r="K36" s="221">
        <v>39126</v>
      </c>
      <c r="L36" s="141">
        <v>6708</v>
      </c>
      <c r="M36" s="221">
        <v>0</v>
      </c>
      <c r="N36" s="222">
        <f>K36-L36-M36</f>
        <v>32418</v>
      </c>
    </row>
    <row r="37" spans="1:14" ht="26.25" x14ac:dyDescent="0.4">
      <c r="A37" s="49" t="s">
        <v>548</v>
      </c>
      <c r="B37" s="252" t="s">
        <v>549</v>
      </c>
      <c r="C37" s="253">
        <f>SUM(C35:C36)</f>
        <v>58775</v>
      </c>
      <c r="D37" s="253">
        <f>SUM(D35:D36)</f>
        <v>8351</v>
      </c>
      <c r="E37" s="253">
        <f>SUM(E35:E36)</f>
        <v>3596</v>
      </c>
      <c r="F37" s="253"/>
      <c r="G37" s="253">
        <f>SUM(G35:G36)</f>
        <v>46828</v>
      </c>
      <c r="I37" s="246"/>
      <c r="K37" s="253">
        <f>SUM(K35:K36)</f>
        <v>52275</v>
      </c>
      <c r="L37" s="253">
        <f>SUM(L35:L36)</f>
        <v>6708</v>
      </c>
      <c r="M37" s="253">
        <f>SUM(M35:M36)</f>
        <v>0</v>
      </c>
      <c r="N37" s="253">
        <f>SUM(N35:N36)</f>
        <v>45567</v>
      </c>
    </row>
    <row r="38" spans="1:14" ht="18.75" x14ac:dyDescent="0.3">
      <c r="I38" s="57"/>
    </row>
    <row r="40" spans="1:14" s="57" customFormat="1" ht="56.25" x14ac:dyDescent="0.3">
      <c r="B40" s="67" t="s">
        <v>550</v>
      </c>
      <c r="C40" s="59" t="s">
        <v>551</v>
      </c>
      <c r="D40" s="59" t="s">
        <v>552</v>
      </c>
      <c r="E40" s="59" t="s">
        <v>539</v>
      </c>
      <c r="F40" s="59" t="s">
        <v>553</v>
      </c>
      <c r="G40" s="60" t="s">
        <v>554</v>
      </c>
      <c r="H40" s="388"/>
      <c r="I40" s="49"/>
      <c r="J40" s="390"/>
    </row>
    <row r="41" spans="1:14" ht="18.75" x14ac:dyDescent="0.3">
      <c r="A41" s="49" t="s">
        <v>555</v>
      </c>
      <c r="B41" s="217" t="s">
        <v>545</v>
      </c>
      <c r="C41" s="228">
        <f t="shared" ref="C41:G42" si="0">C10+C19+C35</f>
        <v>60758</v>
      </c>
      <c r="D41" s="228">
        <f t="shared" si="0"/>
        <v>1896</v>
      </c>
      <c r="E41" s="228">
        <f t="shared" si="0"/>
        <v>955</v>
      </c>
      <c r="F41" s="228">
        <f t="shared" si="0"/>
        <v>0</v>
      </c>
      <c r="G41" s="228">
        <f t="shared" si="0"/>
        <v>57907</v>
      </c>
      <c r="J41" s="390"/>
      <c r="K41" s="57"/>
      <c r="L41" s="57"/>
      <c r="M41" s="57"/>
      <c r="N41" s="57"/>
    </row>
    <row r="42" spans="1:14" ht="18.75" x14ac:dyDescent="0.3">
      <c r="A42" s="49" t="s">
        <v>556</v>
      </c>
      <c r="B42" s="220" t="s">
        <v>547</v>
      </c>
      <c r="C42" s="229">
        <f t="shared" si="0"/>
        <v>169306</v>
      </c>
      <c r="D42" s="229">
        <f t="shared" si="0"/>
        <v>6708</v>
      </c>
      <c r="E42" s="229">
        <f t="shared" si="0"/>
        <v>2641</v>
      </c>
      <c r="F42" s="229">
        <f t="shared" si="0"/>
        <v>0</v>
      </c>
      <c r="G42" s="229">
        <f t="shared" si="0"/>
        <v>159957</v>
      </c>
    </row>
    <row r="43" spans="1:14" ht="18.75" x14ac:dyDescent="0.25">
      <c r="A43" s="49" t="s">
        <v>557</v>
      </c>
      <c r="B43" s="252" t="s">
        <v>549</v>
      </c>
      <c r="C43" s="253">
        <f>SUM(C41:C42)</f>
        <v>230064</v>
      </c>
      <c r="D43" s="253">
        <f>SUM(D41:D42)</f>
        <v>8604</v>
      </c>
      <c r="E43" s="253">
        <f>SUM(E41:E42)</f>
        <v>3596</v>
      </c>
      <c r="F43" s="253"/>
      <c r="G43" s="253">
        <f>SUM(G41:G42)</f>
        <v>217864</v>
      </c>
    </row>
  </sheetData>
  <sheetProtection password="A01C" sheet="1"/>
  <mergeCells count="2">
    <mergeCell ref="K5:S5"/>
    <mergeCell ref="B30:B31"/>
  </mergeCells>
  <conditionalFormatting sqref="J12 J20 O31">
    <cfRule type="cellIs" dxfId="19" priority="31" stopIfTrue="1" operator="equal">
      <formula>"OK"</formula>
    </cfRule>
    <cfRule type="cellIs" dxfId="18" priority="33" stopIfTrue="1" operator="notEqual">
      <formula>"OK"</formula>
    </cfRule>
  </conditionalFormatting>
  <conditionalFormatting sqref="O19">
    <cfRule type="cellIs" dxfId="17" priority="27" stopIfTrue="1" operator="equal">
      <formula>"OK"</formula>
    </cfRule>
    <cfRule type="cellIs" dxfId="16" priority="28" stopIfTrue="1" operator="notEqual">
      <formula>"OK"</formula>
    </cfRule>
  </conditionalFormatting>
  <conditionalFormatting sqref="O20">
    <cfRule type="cellIs" dxfId="15" priority="25" stopIfTrue="1" operator="equal">
      <formula>"OK"</formula>
    </cfRule>
    <cfRule type="cellIs" dxfId="14" priority="26" stopIfTrue="1" operator="notEqual">
      <formula>"OK"</formula>
    </cfRule>
  </conditionalFormatting>
  <conditionalFormatting sqref="J7">
    <cfRule type="cellIs" dxfId="13" priority="5" stopIfTrue="1" operator="equal">
      <formula>"OK"</formula>
    </cfRule>
    <cfRule type="expression" dxfId="12" priority="6" stopIfTrue="1">
      <formula>SEARCH("non",J7)&gt;0</formula>
    </cfRule>
  </conditionalFormatting>
  <conditionalFormatting sqref="J7">
    <cfRule type="cellIs" dxfId="11" priority="3" stopIfTrue="1" operator="equal">
      <formula>"OK"</formula>
    </cfRule>
    <cfRule type="expression" dxfId="10" priority="4" stopIfTrue="1">
      <formula>SEARCH("non",J7)&gt;0</formula>
    </cfRule>
  </conditionalFormatting>
  <conditionalFormatting sqref="J7">
    <cfRule type="expression" dxfId="9" priority="1" stopIfTrue="1">
      <formula>SEARCH("non",J7)&gt;0</formula>
    </cfRule>
    <cfRule type="expression" dxfId="8" priority="2" stopIfTrue="1">
      <formula>ISERROR(SEARCH("non",J7))</formula>
    </cfRule>
  </conditionalFormatting>
  <pageMargins left="0.19685039370078741" right="0.19685039370078741" top="0.74803149606299213" bottom="0.74803149606299213" header="0.31496062992125984" footer="0.31496062992125984"/>
  <pageSetup paperSize="8" scale="37" fitToHeight="39" orientation="landscape" r:id="rId1"/>
  <headerFooter>
    <oddHeader>&amp;L&amp;14Piano di cassa dei flussi prospettici&amp;R&amp;14&amp;D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11</vt:i4>
      </vt:variant>
    </vt:vector>
  </HeadingPairs>
  <TitlesOfParts>
    <vt:vector size="19" baseType="lpstr">
      <vt:lpstr>INFO_OUT</vt:lpstr>
      <vt:lpstr>Info</vt:lpstr>
      <vt:lpstr>Assegnazione da Regione sk1</vt:lpstr>
      <vt:lpstr>Assegnazione da Regione sk2</vt:lpstr>
      <vt:lpstr>Prospetto di sintesi</vt:lpstr>
      <vt:lpstr>Beni e servizi</vt:lpstr>
      <vt:lpstr>Crediti da RL pregr</vt:lpstr>
      <vt:lpstr>LEGENDA ERRORI</vt:lpstr>
      <vt:lpstr>ANAGR</vt:lpstr>
      <vt:lpstr>'Beni e servizi'!Area_stampa</vt:lpstr>
      <vt:lpstr>'LEGENDA ERRORI'!Area_stampa</vt:lpstr>
      <vt:lpstr>'Prospetto di sintesi'!Area_stampa</vt:lpstr>
      <vt:lpstr>ASSEGN</vt:lpstr>
      <vt:lpstr>DECRETI</vt:lpstr>
      <vt:lpstr>MAPP_ENTI</vt:lpstr>
      <vt:lpstr>MESI</vt:lpstr>
      <vt:lpstr>NOTE</vt:lpstr>
      <vt:lpstr>'Prospetto di sintesi'!Titoli_stampa</vt:lpstr>
      <vt:lpstr>VERSIONI</vt:lpstr>
    </vt:vector>
  </TitlesOfParts>
  <Company>Regione Lombardia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Di Gennaro</dc:creator>
  <cp:lastModifiedBy>RUSSO EMILIO</cp:lastModifiedBy>
  <cp:revision/>
  <dcterms:created xsi:type="dcterms:W3CDTF">2016-02-03T11:33:56Z</dcterms:created>
  <dcterms:modified xsi:type="dcterms:W3CDTF">2017-02-20T15:53:15Z</dcterms:modified>
</cp:coreProperties>
</file>