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REQUISITI TECNICI" sheetId="1" r:id="rId1"/>
    <sheet name="CRITERI DI VALUTAZIONE" sheetId="2" state="hidden" r:id="rId2"/>
    <sheet name="NUOVA RDO" sheetId="3" r:id="rId3"/>
  </sheets>
  <definedNames>
    <definedName name="_xlnm.Print_Area" localSheetId="0">'REQUISITI TECNICI'!$A$1:$BA$54</definedName>
  </definedNames>
  <calcPr calcId="145621"/>
</workbook>
</file>

<file path=xl/calcChain.xml><?xml version="1.0" encoding="utf-8"?>
<calcChain xmlns="http://schemas.openxmlformats.org/spreadsheetml/2006/main">
  <c r="BB2" i="1" l="1"/>
  <c r="AX3" i="1" l="1"/>
  <c r="AX4" i="1"/>
  <c r="AX5" i="1"/>
  <c r="AX6" i="1"/>
  <c r="AX7" i="1"/>
  <c r="AX8" i="1"/>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42" i="1"/>
  <c r="AX43" i="1"/>
  <c r="AX44" i="1"/>
  <c r="AX45" i="1"/>
  <c r="AX46" i="1"/>
  <c r="AX47" i="1"/>
  <c r="AX48" i="1"/>
  <c r="AX49" i="1"/>
  <c r="AX50" i="1"/>
  <c r="AX51" i="1"/>
  <c r="AX52" i="1"/>
  <c r="AX53" i="1"/>
  <c r="AX2" i="1"/>
  <c r="AW3" i="1"/>
  <c r="AW4" i="1"/>
  <c r="AW5" i="1"/>
  <c r="AW6" i="1"/>
  <c r="AW7" i="1"/>
  <c r="AW8" i="1"/>
  <c r="AW9" i="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42" i="1"/>
  <c r="AW43" i="1"/>
  <c r="AW44" i="1"/>
  <c r="AW45" i="1"/>
  <c r="AW46" i="1"/>
  <c r="AW47" i="1"/>
  <c r="AW48" i="1"/>
  <c r="AW49" i="1"/>
  <c r="AW50" i="1"/>
  <c r="AW51" i="1"/>
  <c r="AW52" i="1"/>
  <c r="AW53" i="1"/>
  <c r="AW2" i="1"/>
  <c r="AV3" i="1"/>
  <c r="AV4" i="1"/>
  <c r="AV5" i="1"/>
  <c r="AV6" i="1"/>
  <c r="AV7" i="1"/>
  <c r="AV8" i="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42" i="1"/>
  <c r="AV43" i="1"/>
  <c r="AV44" i="1"/>
  <c r="AV45" i="1"/>
  <c r="AV46" i="1"/>
  <c r="AV47" i="1"/>
  <c r="AV48" i="1"/>
  <c r="AV49" i="1"/>
  <c r="AV50" i="1"/>
  <c r="AV51" i="1"/>
  <c r="AV52" i="1"/>
  <c r="AV53" i="1"/>
  <c r="AV2" i="1"/>
  <c r="W38" i="1" l="1"/>
  <c r="AG38" i="1"/>
  <c r="AE38" i="1"/>
  <c r="AK16" i="3"/>
  <c r="AH16" i="3"/>
  <c r="AF16" i="3"/>
  <c r="AD16" i="3"/>
  <c r="AB16" i="3"/>
  <c r="Z16" i="3"/>
  <c r="X16" i="3"/>
  <c r="E16" i="3"/>
  <c r="V16" i="3" s="1"/>
  <c r="AN15" i="3"/>
  <c r="U16" i="3" l="1"/>
  <c r="AI23" i="1" l="1"/>
  <c r="AI26" i="1"/>
  <c r="AM2" i="1"/>
  <c r="AH35" i="1"/>
  <c r="AJ34" i="1" s="1"/>
  <c r="AH34" i="1"/>
  <c r="AH23" i="1"/>
  <c r="AG23" i="1"/>
  <c r="AG26" i="1"/>
  <c r="AK35" i="1"/>
  <c r="AK34" i="1"/>
  <c r="AL34" i="1" s="1"/>
  <c r="AF35" i="1"/>
  <c r="AF34" i="1"/>
  <c r="AD35" i="1"/>
  <c r="AD34" i="1"/>
  <c r="AB35" i="1"/>
  <c r="AB34" i="1"/>
  <c r="Z35" i="1"/>
  <c r="Z34" i="1"/>
  <c r="AA34" i="1" s="1"/>
  <c r="X35" i="1"/>
  <c r="X34" i="1"/>
  <c r="Y34" i="1" s="1"/>
  <c r="AI34" i="1" l="1"/>
  <c r="AG34" i="1"/>
  <c r="AE34" i="1"/>
  <c r="AL26" i="1"/>
  <c r="AJ26" i="1"/>
  <c r="AE26" i="1"/>
  <c r="AL23" i="1"/>
  <c r="AJ23" i="1"/>
  <c r="AE23" i="1"/>
  <c r="Y23" i="1"/>
  <c r="Y26" i="1" l="1"/>
  <c r="AR14" i="3" l="1"/>
  <c r="AU14" i="3" s="1"/>
  <c r="AW14" i="3" s="1"/>
  <c r="AM14" i="3"/>
  <c r="AO14" i="3" s="1"/>
  <c r="V14" i="3"/>
  <c r="AM13" i="3"/>
  <c r="AK13" i="3"/>
  <c r="AH13" i="3"/>
  <c r="AF13" i="3"/>
  <c r="AD13" i="3"/>
  <c r="AB13" i="3"/>
  <c r="Z13" i="3"/>
  <c r="X13" i="3"/>
  <c r="E13" i="3"/>
  <c r="V13" i="3" s="1"/>
  <c r="AM12" i="3"/>
  <c r="AO12" i="3" s="1"/>
  <c r="AP12" i="3" s="1"/>
  <c r="AK12" i="3"/>
  <c r="AH12" i="3"/>
  <c r="AF12" i="3"/>
  <c r="AD12" i="3"/>
  <c r="AB12" i="3"/>
  <c r="Z12" i="3"/>
  <c r="X12" i="3"/>
  <c r="E12" i="3"/>
  <c r="U12" i="3" s="1"/>
  <c r="AR11" i="3"/>
  <c r="AU11" i="3" s="1"/>
  <c r="AM11" i="3"/>
  <c r="AO11" i="3" s="1"/>
  <c r="V11" i="3"/>
  <c r="V12" i="3" l="1"/>
  <c r="AW11" i="3"/>
  <c r="AR12" i="3"/>
  <c r="AQ12" i="3"/>
  <c r="AN14" i="3"/>
  <c r="AN13" i="3"/>
  <c r="AO13" i="3"/>
  <c r="AP13" i="3" s="1"/>
  <c r="AN11" i="3"/>
  <c r="U13" i="3"/>
  <c r="AN12" i="3"/>
  <c r="AS12" i="3" l="1"/>
  <c r="AT12" i="3" s="1"/>
  <c r="AU12" i="3" s="1"/>
  <c r="AW12" i="3" s="1"/>
  <c r="AR13" i="3"/>
  <c r="AQ13" i="3"/>
  <c r="AS13" i="3" s="1"/>
  <c r="AT13" i="3" s="1"/>
  <c r="AU13" i="3" s="1"/>
  <c r="AW13" i="3" s="1"/>
  <c r="AA54" i="1" l="1"/>
  <c r="AC56" i="1" s="1"/>
  <c r="AM53" i="1"/>
  <c r="AN53" i="1" s="1"/>
  <c r="AN3" i="1"/>
  <c r="AM5" i="1"/>
  <c r="AN5" i="1" s="1"/>
  <c r="AM8" i="1"/>
  <c r="AN8" i="1" s="1"/>
  <c r="AM11" i="1"/>
  <c r="AN11" i="1" s="1"/>
  <c r="AM14" i="1"/>
  <c r="AN14" i="1" s="1"/>
  <c r="AM17" i="1"/>
  <c r="AN17" i="1" s="1"/>
  <c r="AM20" i="1"/>
  <c r="AN20" i="1" s="1"/>
  <c r="AM29" i="1"/>
  <c r="AN29" i="1" s="1"/>
  <c r="AM32" i="1"/>
  <c r="AN32" i="1" s="1"/>
  <c r="AN35" i="1"/>
  <c r="AN36" i="1"/>
  <c r="AN37" i="1"/>
  <c r="AM43" i="1"/>
  <c r="AN43" i="1" s="1"/>
  <c r="AN47" i="1"/>
  <c r="AM48" i="1"/>
  <c r="AN48" i="1" s="1"/>
  <c r="AN49" i="1"/>
  <c r="AM50" i="1"/>
  <c r="AN50" i="1" s="1"/>
  <c r="AN51" i="1"/>
  <c r="AM52" i="1"/>
  <c r="AN52" i="1" s="1"/>
  <c r="AN2" i="1"/>
  <c r="AC54" i="1" l="1"/>
  <c r="BA22" i="1" l="1"/>
  <c r="AK5" i="1" l="1"/>
  <c r="AK8" i="1"/>
  <c r="AK11" i="1"/>
  <c r="AK14" i="1"/>
  <c r="AK17" i="1"/>
  <c r="AK20" i="1"/>
  <c r="AK29" i="1"/>
  <c r="AK32" i="1"/>
  <c r="AK38" i="1"/>
  <c r="AK39" i="1"/>
  <c r="AK40" i="1"/>
  <c r="AK41" i="1"/>
  <c r="AK43" i="1"/>
  <c r="AK45" i="1"/>
  <c r="AK46" i="1"/>
  <c r="AK48" i="1"/>
  <c r="AK50" i="1"/>
  <c r="AK52" i="1"/>
  <c r="AK53" i="1"/>
  <c r="AH5" i="1"/>
  <c r="AH8" i="1"/>
  <c r="AH11" i="1"/>
  <c r="AH14" i="1"/>
  <c r="AH17" i="1"/>
  <c r="AH20" i="1"/>
  <c r="AH26" i="1"/>
  <c r="AH29" i="1"/>
  <c r="AH32" i="1"/>
  <c r="AH38" i="1"/>
  <c r="AH39" i="1"/>
  <c r="AH40" i="1"/>
  <c r="AH41" i="1"/>
  <c r="AH43" i="1"/>
  <c r="AH45" i="1"/>
  <c r="AH46" i="1"/>
  <c r="AH48" i="1"/>
  <c r="AH50" i="1"/>
  <c r="AH52" i="1"/>
  <c r="AF5" i="1"/>
  <c r="AF8" i="1"/>
  <c r="AF11" i="1"/>
  <c r="AF14" i="1"/>
  <c r="AF17" i="1"/>
  <c r="AF20" i="1"/>
  <c r="AF26" i="1"/>
  <c r="AF29" i="1"/>
  <c r="AF32" i="1"/>
  <c r="AF38" i="1"/>
  <c r="AF39" i="1"/>
  <c r="AF40" i="1"/>
  <c r="AF41" i="1"/>
  <c r="AF43" i="1"/>
  <c r="AF45" i="1"/>
  <c r="AF46" i="1"/>
  <c r="AF48" i="1"/>
  <c r="AF50" i="1"/>
  <c r="AF52" i="1"/>
  <c r="AD5" i="1"/>
  <c r="AD8" i="1"/>
  <c r="AD11" i="1"/>
  <c r="AD14" i="1"/>
  <c r="AD17" i="1"/>
  <c r="AD20" i="1"/>
  <c r="AD26" i="1"/>
  <c r="AD29" i="1"/>
  <c r="AD32" i="1"/>
  <c r="AD38" i="1"/>
  <c r="AD39" i="1"/>
  <c r="AD40" i="1"/>
  <c r="AD41" i="1"/>
  <c r="AD43" i="1"/>
  <c r="AD45" i="1"/>
  <c r="AD46" i="1"/>
  <c r="AD48" i="1"/>
  <c r="AD50" i="1"/>
  <c r="AD52" i="1"/>
  <c r="AD53" i="1"/>
  <c r="AB5" i="1"/>
  <c r="AB8" i="1"/>
  <c r="AB11" i="1"/>
  <c r="AB14" i="1"/>
  <c r="AB17" i="1"/>
  <c r="AB20" i="1"/>
  <c r="AB26" i="1"/>
  <c r="AB29" i="1"/>
  <c r="AB32" i="1"/>
  <c r="AB38" i="1"/>
  <c r="AB39" i="1"/>
  <c r="AB40" i="1"/>
  <c r="AB41" i="1"/>
  <c r="AB43" i="1"/>
  <c r="AB45" i="1"/>
  <c r="AB46" i="1"/>
  <c r="AB48" i="1"/>
  <c r="AB50" i="1"/>
  <c r="AB52" i="1"/>
  <c r="AB53" i="1"/>
  <c r="Z5" i="1"/>
  <c r="Z8" i="1"/>
  <c r="Z11" i="1"/>
  <c r="Z14" i="1"/>
  <c r="Z17" i="1"/>
  <c r="Z20" i="1"/>
  <c r="Z23" i="1"/>
  <c r="Z26" i="1"/>
  <c r="Z29" i="1"/>
  <c r="Z32" i="1"/>
  <c r="Z38" i="1"/>
  <c r="Z39" i="1"/>
  <c r="Z40" i="1"/>
  <c r="Z41" i="1"/>
  <c r="Z43" i="1"/>
  <c r="Z45" i="1"/>
  <c r="Z46" i="1"/>
  <c r="Z48" i="1"/>
  <c r="Z50" i="1"/>
  <c r="Z52" i="1"/>
  <c r="X5" i="1"/>
  <c r="X8" i="1"/>
  <c r="X11" i="1"/>
  <c r="X14" i="1"/>
  <c r="X17" i="1"/>
  <c r="X20" i="1"/>
  <c r="X23" i="1"/>
  <c r="X26" i="1"/>
  <c r="X29" i="1"/>
  <c r="X32" i="1"/>
  <c r="X38" i="1"/>
  <c r="X39" i="1"/>
  <c r="X40" i="1"/>
  <c r="X41" i="1"/>
  <c r="X43" i="1"/>
  <c r="X45" i="1"/>
  <c r="X46" i="1"/>
  <c r="X48" i="1"/>
  <c r="X50" i="1"/>
  <c r="X52" i="1"/>
  <c r="AK2" i="1"/>
  <c r="AH2" i="1"/>
  <c r="AF2" i="1"/>
  <c r="AD2" i="1"/>
  <c r="AB2" i="1"/>
  <c r="Z2" i="1"/>
  <c r="X2" i="1"/>
  <c r="AI45" i="1" l="1"/>
  <c r="AG54" i="1"/>
  <c r="AB54" i="1"/>
  <c r="AL45" i="1"/>
  <c r="AJ45" i="1"/>
  <c r="AE45" i="1"/>
  <c r="AF54" i="1"/>
  <c r="AH54" i="1"/>
  <c r="Y45" i="1"/>
  <c r="E46" i="1"/>
  <c r="E45" i="1"/>
  <c r="E41" i="1"/>
  <c r="E40" i="1"/>
  <c r="E39" i="1"/>
  <c r="E38" i="1"/>
  <c r="E35" i="1"/>
  <c r="E34" i="1"/>
  <c r="U35" i="1" l="1"/>
  <c r="V35" i="1"/>
  <c r="U38" i="1"/>
  <c r="V38" i="1"/>
  <c r="U40" i="1"/>
  <c r="V40" i="1"/>
  <c r="U41" i="1"/>
  <c r="V41" i="1"/>
  <c r="U45" i="1"/>
  <c r="V45" i="1"/>
  <c r="U46" i="1"/>
  <c r="V46" i="1"/>
  <c r="AJ54" i="1"/>
  <c r="U39" i="1"/>
  <c r="V39" i="1"/>
  <c r="U34" i="1"/>
  <c r="W34" i="1" s="1"/>
  <c r="AM34" i="1" s="1"/>
  <c r="V34" i="1"/>
  <c r="AL54" i="1"/>
  <c r="Y54" i="1"/>
  <c r="AE54" i="1"/>
  <c r="E26" i="1"/>
  <c r="W26" i="1" s="1"/>
  <c r="AM26" i="1" s="1"/>
  <c r="E23" i="1"/>
  <c r="W23" i="1" s="1"/>
  <c r="AM23" i="1" s="1"/>
  <c r="AO23" i="1" s="1"/>
  <c r="W45" i="1" l="1"/>
  <c r="AN34" i="1"/>
  <c r="U23" i="1"/>
  <c r="V23" i="1"/>
  <c r="U26" i="1"/>
  <c r="V26" i="1"/>
  <c r="AM38" i="1"/>
  <c r="E53" i="1"/>
  <c r="AM45" i="1" l="1"/>
  <c r="AN45" i="1" s="1"/>
  <c r="AO34" i="1"/>
  <c r="AP34" i="1" s="1"/>
  <c r="AR34" i="1" s="1"/>
  <c r="AO45" i="1"/>
  <c r="AP45" i="1" s="1"/>
  <c r="AM54" i="1"/>
  <c r="AN54" i="1" s="1"/>
  <c r="AP23" i="1"/>
  <c r="AQ23" i="1" s="1"/>
  <c r="AS23" i="1" s="1"/>
  <c r="AN26" i="1"/>
  <c r="AO26" i="1"/>
  <c r="AP26" i="1" s="1"/>
  <c r="AR26" i="1" s="1"/>
  <c r="AN38" i="1"/>
  <c r="AO38" i="1"/>
  <c r="AP38" i="1" s="1"/>
  <c r="U53" i="1"/>
  <c r="V53" i="1"/>
  <c r="W54" i="1"/>
  <c r="AO53" i="1"/>
  <c r="AP53" i="1" s="1"/>
  <c r="E29" i="1"/>
  <c r="AQ34" i="1" l="1"/>
  <c r="AS34" i="1" s="1"/>
  <c r="AT34" i="1" s="1"/>
  <c r="AU34" i="1" s="1"/>
  <c r="BA34" i="1" s="1"/>
  <c r="AR23" i="1"/>
  <c r="AQ45" i="1"/>
  <c r="AS45" i="1" s="1"/>
  <c r="AT45" i="1" s="1"/>
  <c r="AR45" i="1"/>
  <c r="AQ26" i="1"/>
  <c r="AS26" i="1" s="1"/>
  <c r="AT26" i="1" s="1"/>
  <c r="AU26" i="1" s="1"/>
  <c r="BA26" i="1" s="1"/>
  <c r="U29" i="1"/>
  <c r="V29" i="1"/>
  <c r="AR38" i="1"/>
  <c r="AQ38" i="1"/>
  <c r="AS38" i="1" s="1"/>
  <c r="AT38" i="1" s="1"/>
  <c r="AT23" i="1"/>
  <c r="AR53" i="1"/>
  <c r="AQ53" i="1"/>
  <c r="AS53" i="1" s="1"/>
  <c r="AO29" i="1"/>
  <c r="AP29" i="1" s="1"/>
  <c r="E52" i="1"/>
  <c r="E50" i="1"/>
  <c r="E48" i="1"/>
  <c r="E43" i="1"/>
  <c r="E32" i="1"/>
  <c r="E20" i="1"/>
  <c r="E17" i="1"/>
  <c r="E14" i="1"/>
  <c r="E11" i="1"/>
  <c r="V11" i="1" s="1"/>
  <c r="E8" i="1"/>
  <c r="E5" i="1"/>
  <c r="E2" i="1"/>
  <c r="AU38" i="1" l="1"/>
  <c r="BA38" i="1" s="1"/>
  <c r="AU23" i="1"/>
  <c r="BA23" i="1" s="1"/>
  <c r="AU45" i="1"/>
  <c r="BA45" i="1" s="1"/>
  <c r="U2" i="1"/>
  <c r="V2" i="1"/>
  <c r="U43" i="1"/>
  <c r="V43" i="1"/>
  <c r="U52" i="1"/>
  <c r="V52" i="1"/>
  <c r="U20" i="1"/>
  <c r="V20" i="1"/>
  <c r="U32" i="1"/>
  <c r="V32" i="1"/>
  <c r="U48" i="1"/>
  <c r="V48" i="1"/>
  <c r="U5" i="1"/>
  <c r="V5" i="1"/>
  <c r="U8" i="1"/>
  <c r="V8" i="1"/>
  <c r="U11" i="1"/>
  <c r="U14" i="1"/>
  <c r="V14" i="1"/>
  <c r="U17" i="1"/>
  <c r="V17" i="1"/>
  <c r="U50" i="1"/>
  <c r="V50" i="1"/>
  <c r="AT53" i="1"/>
  <c r="AU53" i="1" s="1"/>
  <c r="BA53" i="1" s="1"/>
  <c r="AO2" i="1"/>
  <c r="AP2" i="1" s="1"/>
  <c r="AO8" i="1"/>
  <c r="AP8" i="1" s="1"/>
  <c r="AO14" i="1"/>
  <c r="AP14" i="1" s="1"/>
  <c r="AO20" i="1"/>
  <c r="AP20" i="1" s="1"/>
  <c r="AO43" i="1"/>
  <c r="AP43" i="1" s="1"/>
  <c r="AO50" i="1"/>
  <c r="AP50" i="1" s="1"/>
  <c r="AR29" i="1"/>
  <c r="AQ29" i="1"/>
  <c r="AS29" i="1" s="1"/>
  <c r="AT29" i="1" s="1"/>
  <c r="AU29" i="1" s="1"/>
  <c r="BA29" i="1" s="1"/>
  <c r="AO5" i="1"/>
  <c r="AP5" i="1" s="1"/>
  <c r="AO11" i="1"/>
  <c r="AP11" i="1" s="1"/>
  <c r="AO17" i="1"/>
  <c r="AP17" i="1" s="1"/>
  <c r="AO32" i="1"/>
  <c r="AP32" i="1" s="1"/>
  <c r="AO48" i="1"/>
  <c r="AP48" i="1" s="1"/>
  <c r="AO52" i="1"/>
  <c r="AP52" i="1" s="1"/>
  <c r="B31" i="2"/>
  <c r="B25" i="2"/>
  <c r="B19" i="2"/>
  <c r="B13" i="2"/>
  <c r="B7" i="2"/>
  <c r="AR52" i="1" l="1"/>
  <c r="AQ52" i="1"/>
  <c r="AS52" i="1" s="1"/>
  <c r="AT52" i="1" s="1"/>
  <c r="AU52" i="1" s="1"/>
  <c r="BA52" i="1" s="1"/>
  <c r="AR32" i="1"/>
  <c r="AQ32" i="1"/>
  <c r="AS32" i="1" s="1"/>
  <c r="AT32" i="1" s="1"/>
  <c r="AU32" i="1" s="1"/>
  <c r="BA32" i="1" s="1"/>
  <c r="AR11" i="1"/>
  <c r="AQ11" i="1"/>
  <c r="AS11" i="1" s="1"/>
  <c r="AT11" i="1" s="1"/>
  <c r="AU11" i="1" s="1"/>
  <c r="BA11" i="1" s="1"/>
  <c r="AR48" i="1"/>
  <c r="AQ48" i="1"/>
  <c r="AS48" i="1" s="1"/>
  <c r="AR17" i="1"/>
  <c r="AQ17" i="1"/>
  <c r="AS17" i="1" s="1"/>
  <c r="AT17" i="1" s="1"/>
  <c r="AU17" i="1" s="1"/>
  <c r="BA17" i="1" s="1"/>
  <c r="AR5" i="1"/>
  <c r="AQ5" i="1"/>
  <c r="AS5" i="1" s="1"/>
  <c r="AT5" i="1" s="1"/>
  <c r="AU5" i="1" s="1"/>
  <c r="BA5" i="1" s="1"/>
  <c r="AR50" i="1"/>
  <c r="AQ50" i="1"/>
  <c r="AS50" i="1" s="1"/>
  <c r="AT50" i="1" s="1"/>
  <c r="AU50" i="1" s="1"/>
  <c r="BA50" i="1" s="1"/>
  <c r="AR43" i="1"/>
  <c r="AQ43" i="1"/>
  <c r="AS43" i="1" s="1"/>
  <c r="AT43" i="1" s="1"/>
  <c r="AU43" i="1" s="1"/>
  <c r="BA43" i="1" s="1"/>
  <c r="AR20" i="1"/>
  <c r="AQ20" i="1"/>
  <c r="AS20" i="1" s="1"/>
  <c r="AR14" i="1"/>
  <c r="AQ14" i="1"/>
  <c r="AR8" i="1"/>
  <c r="AQ8" i="1"/>
  <c r="AS8" i="1" s="1"/>
  <c r="AT8" i="1" s="1"/>
  <c r="AU8" i="1" s="1"/>
  <c r="BA8" i="1" s="1"/>
  <c r="AR2" i="1"/>
  <c r="AQ2" i="1"/>
  <c r="AS2" i="1" s="1"/>
  <c r="AT2" i="1" s="1"/>
  <c r="AU2" i="1" s="1"/>
  <c r="BA2" i="1" s="1"/>
  <c r="AT48" i="1" l="1"/>
  <c r="AU48" i="1" s="1"/>
  <c r="BA48" i="1" s="1"/>
  <c r="AT20" i="1"/>
  <c r="AU20" i="1" s="1"/>
  <c r="BA20" i="1" s="1"/>
  <c r="AS14" i="1"/>
  <c r="AT14" i="1" s="1"/>
  <c r="AU14" i="1" s="1"/>
  <c r="BA14" i="1" s="1"/>
  <c r="V54" i="1" l="1"/>
</calcChain>
</file>

<file path=xl/sharedStrings.xml><?xml version="1.0" encoding="utf-8"?>
<sst xmlns="http://schemas.openxmlformats.org/spreadsheetml/2006/main" count="283" uniqueCount="143">
  <si>
    <t>PUNTEGGIO QUALITA' MASSIMO 70 PUNTI</t>
  </si>
  <si>
    <t>PUNTI</t>
  </si>
  <si>
    <t>Qualità del prodotto (materiali costituenti il prodotto, caratteristiche tecniche, innovazioni tecnologiche sotto il profilo rischio/beneficio)</t>
  </si>
  <si>
    <t>Caratteristiche funzionali (facilità d'utilizzo,maneggevolezza,scorrevolezza, resistenza meccanica della lente, facilità di posizionamento, elasticità delle anse,sicurezza e precisione dell'impianto, tecnologia utile al corretto e sicuro impiego</t>
  </si>
  <si>
    <t>Qualità del confezionamento (facilità d'apertura, eventuali accorgimenti per il mantenimento della sterilità in campo operatorio, etichettatura, istruzioni per l'uso)</t>
  </si>
  <si>
    <t xml:space="preserve">Studi clinici e letteratura scientifica relativi al prodotto </t>
  </si>
  <si>
    <t>TOTALE</t>
  </si>
  <si>
    <t>Caratteristiche funzionali (facilità d'utilizzo, maneggevolezza, capacità di mantenimento degli spazi, trasparenza, protezione dell'endotelio)</t>
  </si>
  <si>
    <t>Caratteristiche funzionali (facilità d'utilizzo, maneggevolezza, capacità di colorazione, facilità di rimozione dei residui dall'occhio)</t>
  </si>
  <si>
    <t>Caratteristiche funzionali (facilità d'utilizzo, maneggevolezza,affidabilità, tecnologia utile al corretto e sicuro impiego)</t>
  </si>
  <si>
    <t>Caratteristiche funzionali (facilità d'utilizzo, maneggevolezza, capacità di taglio, ergonomicità, durezza della lama, qualità dell'antiriflesso)</t>
  </si>
  <si>
    <t>LOTTO</t>
  </si>
  <si>
    <t>sub lotto</t>
  </si>
  <si>
    <t>REQUISITI TECNICI SPECIFICI</t>
  </si>
  <si>
    <r>
      <t xml:space="preserve">• Materiale acrilico idrofobo con contenuto di acqua inferiore al 3%
• Design della lente monopezzo e monomateriale, a completa zona ottica
• Filtro UV di almeno 375 nm e filtro per luce BLU fino a 550 nm
• Lente planare con anse a C o L modificate e piatto sullo stesso piano ottico
• Lunghezza totale della IOL circa 13,0 mm con zona ottica di 6,0 mm circa
</t>
    </r>
    <r>
      <rPr>
        <sz val="11"/>
        <rFont val="Calibri"/>
        <family val="2"/>
        <scheme val="minor"/>
      </rPr>
      <t xml:space="preserve">• Indice di rifrazione di almeno 1,45 </t>
    </r>
    <r>
      <rPr>
        <sz val="11"/>
        <color theme="1"/>
        <rFont val="Calibri"/>
        <family val="2"/>
        <scheme val="minor"/>
      </rPr>
      <t xml:space="preserve">
• IOL preferibilmente precaricata su iniettore monouso sterile per incisioni da 2,2 mm a 2,75 mm
•</t>
    </r>
    <r>
      <rPr>
        <sz val="11"/>
        <rFont val="Calibri"/>
        <family val="2"/>
        <scheme val="minor"/>
      </rPr>
      <t xml:space="preserve"> Poteri diottrici da 6,0D a 30,0D con incrementi di 0,5D</t>
    </r>
  </si>
  <si>
    <t>.</t>
  </si>
  <si>
    <t>• Materiale piatto ottico acrilico idrofobo con contenuto di acqua inferiore al 3%
• Design della lente tre pezzi con anse in PMMA, a completa zona ottica
• Filtro UV di almeno 375 nm e filtro per luce BLU fino a 550 nm
• Lente angolata 5-10% con anse a L o C modificate
• Lunghezza totale della IOL di circa 13,0 mm con zona ottica di 6,0 mm
• Indice di rifrazione di almeno 1,45 
• IOL iniettabile con iniettore sterile monouso o iniettore pluriuso con cartuccia monouso inclusa
• Poteri diottrici da -5,0D a +5,0 con incrementi di 1D e da 6,0D a 30,0D con incrementi di 0,5</t>
  </si>
  <si>
    <t>• Materiale acrilico idrofobo con contenuto di acqua inferiore al 3%
• Design della lente monopezzo e monomateriale, a completa zona ottica
• Filtro UV di almeno 375 nm e filtro per luce BLU fino a 550 nm 
• Lente planare con anse a C o L modificate e piatto sullo stesso piano ottico
• Lunghezza totale della IOL 13,0 mm con zona ottica di 6,0 mm
• Indice di rifrazione di almeno 1,45 
• IOL iniettabile con iniettore sterile monouso o iniettore pluriuso con cartuccia monouso inclusa
• Poteri diottrici da 6,0D a 30,0D con incrementi di 0,5D e da 31,0D a 34,0 con incrementi di 1,0D
• Poteri diottrici del cilindro (piano corneale) da 0.68D a 4.11D</t>
  </si>
  <si>
    <t>• Materiale acrilico idrofobo con contenuto di acqua inferiore al 3%
• Design della lente monopezzo e monomateriale, a completa zona ottica con zona centrale dedicata al fuoco esteso
• Zona ottica centrale di 2.0-2.4 mm a profondità di fuoco estesa rispondente ai requisiti AAO Consensus Statement 2015
• Filtro UV e filtro per luce BLU
• Lente planare con anse a C o L modificate e piatto sullo stesso asse ottico
• Lunghezza totale della IOL di circa 13,0 mm con zona ottica di 6,0 mm
• Indice di rifrazione di almeno 1,45 
• IOL iniettabile con iniettore sterile monouso o iniettore pluriuso con cartuccia monouso inclusa
• Poteri diottrici da 10,0D a 30,0D con incrementi di 0,5D</t>
  </si>
  <si>
    <t>Lente EDOF (Extended Depth Of Focus) da sacco (IOL) monopezzo TORICHE pieghevole asferica a profondita’ di fuoco esteso</t>
  </si>
  <si>
    <t>• Materiale acrilico idrofobo con contenuto di acqua inferiore al 3%
• Design della lente monopezzo e monomateriale, a completa zona ottica con zona centrale dedicata al fuoco esteso
• Zona ottica centrale di 2.0-2.4 mm a profondità di fuoco estesa rispondente ai requisiti AAO Consensus Statement 2015
• Filtro UV di almeno 375 nm e filtro per luce BLU fino a 550 nm
• Lente planare con anse a C o L modificate e piatto sullo stesso asse ottico
• Lunghezza totale della IOL circa 13,0 mm con zona ottica di 6,0 mm
• Indice di rifrazione di almeno 1,45 
• IOL iniettabile con iniettore sterile monouso o iniettore pluriuso con cartuccia monouso inclusa
• Poteri diottrici da 10,0D a 30,0D con incrementi di 0,5D
• Poteri diottrici del cilindro da 1,03D a 2,66D al piano corneale</t>
  </si>
  <si>
    <t>Lente intraoculare da fissazione sclerale (IOL) pieghevole in materiale acrilico idrofilo sutureless</t>
  </si>
  <si>
    <t>• Materiale acrilico idrofilo (circa 25% H2O) con superficie idrofobica (evitare possibili interazioni con prodotti tamponanti)
• Design della lente monopezzo e monomateriale
• Filtro UV di almeno 375 nm (colore giallo)
• Lente angolata 10° con anse a biscotto e plug di fissaggio sclerale
• Lunghezza totale della IOL circa 13 mm con zona ottica di circa 6,5 mm
• Indice di rifrazione di almeno 1,46 
• IOL iniettabile con iniettore monouso sterile per incisioni da 2,2 mm a 2,75 mm
• Poteri diottrici da - 5,0D a +40,0D con incrementi di 0,5D &gt; tra +15D a +25D e con incrementi di 1D nei restanti poteri</t>
  </si>
  <si>
    <t xml:space="preserve">Lente intraoculare da Camera Anteriore (IOL) in PMMA in materiale acrilico idrofobo </t>
  </si>
  <si>
    <t>• Materiale acrilico idrofobo
• Design della lente monopezzo e monomateriale
• Filtro UV di almeno 375 nm
• Lente planare con anse Kelman
• Lunghezza totale della IOL circa 13,0 mm con zona ottica di circa 5,5 mm
• Indice di rifrazione di almeno 1,45 
• Poteri diottrici da 5,0D a 30,0D con incrementi di 0,5D</t>
  </si>
  <si>
    <t>Sostanze viscoelastiche per chirurgia oftalmica (OVD)</t>
  </si>
  <si>
    <t>a</t>
  </si>
  <si>
    <t>Siringa da 0,85 ML con luer lock comprensivo di anello di sicurezza e cannula da iniezione fluidi viscosi da 27G contenente sostanza viscoelastica composta da Sodio Ialuronato almeno 1%, peso molecolare di 2 milioni di dalton, preparato sterile apirogeno per chirurgia endoculare o equivalente.</t>
  </si>
  <si>
    <t>b</t>
  </si>
  <si>
    <t>Siringa da 0,50 ML con luer lock comprensivo di anello di sicurezza e cannula da iniezione fluidi viscosi da 27G contenente sostanza viscoelastica composta da Condroitina Sodio Solfato al 4% e Sodio Ialuronato al 3%, peso molecolare 600.000 dalton, preparato sterile apirogeno per chirurgia endoculare o equivalente.</t>
  </si>
  <si>
    <t>c</t>
  </si>
  <si>
    <t>Coloranti</t>
  </si>
  <si>
    <t>Soluzione oftalmica sterile senza conservanti contenente Triamcinolone Acetonide Micronizzato 4P in tampone fosfato isotonico, 1 fiala da 2 ml o equivalente.</t>
  </si>
  <si>
    <t>Olio di Silicone</t>
  </si>
  <si>
    <t>Soluzione incolore omogenea composta da miscela di Polyametylnoxane ultrapurificato 69,5% e da Perfluorohexylottane ultrpurificato al 30,5%. Chimicamente e fisiologicamente inerte con viscosità di circa 1.400 mPas. Olio di silicone pesante. Solubilità in acqua non miscelabile. Siringa opzionaIe con disponibilità del tubo di connessione monouso per i fluidi viscosi compatibile con gli strumenti in uso (Constellation di Alcon) o equivalente.</t>
  </si>
  <si>
    <r>
      <t xml:space="preserve">Microbisturi monouso sterile </t>
    </r>
    <r>
      <rPr>
        <i/>
        <u/>
        <sz val="11"/>
        <color theme="1"/>
        <rFont val="Calibri"/>
        <family val="2"/>
        <scheme val="minor"/>
      </rPr>
      <t>retto</t>
    </r>
    <r>
      <rPr>
        <sz val="11"/>
        <color theme="1"/>
        <rFont val="Calibri"/>
        <family val="2"/>
        <scheme val="minor"/>
      </rPr>
      <t xml:space="preserve"> 15° - 30° - 45° con lama in acciaio inox di qualità medicale, atossico,antiriflesso, punta della lama a lancia. Confezione singola, sterile </t>
    </r>
  </si>
  <si>
    <r>
      <t xml:space="preserve">Microbisturi monouso, sterile, </t>
    </r>
    <r>
      <rPr>
        <i/>
        <u/>
        <sz val="11"/>
        <color theme="1"/>
        <rFont val="Calibri"/>
        <family val="2"/>
        <scheme val="minor"/>
      </rPr>
      <t>mini-crescent</t>
    </r>
    <r>
      <rPr>
        <sz val="11"/>
        <color theme="1"/>
        <rFont val="Calibri"/>
        <family val="2"/>
        <scheme val="minor"/>
      </rPr>
      <t>, angolato, larghezza 1,20 mm con lama in acciaio inox di qualità medicale, atossico, antiriflesso, punta della lama arrotondata.</t>
    </r>
  </si>
  <si>
    <t>d</t>
  </si>
  <si>
    <r>
      <t>Microbisturi monouso, sterile,</t>
    </r>
    <r>
      <rPr>
        <i/>
        <u/>
        <sz val="11"/>
        <color theme="1"/>
        <rFont val="Calibri"/>
        <family val="2"/>
        <scheme val="minor"/>
      </rPr>
      <t xml:space="preserve"> crescent</t>
    </r>
    <r>
      <rPr>
        <sz val="11"/>
        <color theme="1"/>
        <rFont val="Calibri"/>
        <family val="2"/>
        <scheme val="minor"/>
      </rPr>
      <t>, angolato, larghezza 2.0 mm con lama in acciaio inox di qualità medicale, atossico, antiriflesso, punta della lama arrotondata.</t>
    </r>
  </si>
  <si>
    <t>Pinza serrafili sterile monouso curva in acciaio inossidabile utilizzata in chirurgia della cataratta per tenere l'ago e il monofilamento</t>
  </si>
  <si>
    <t>Pinza sterile monouso per capsuloressi in acciaio in acciaio inossidabile indicata durante la chirurgia della cataratta per effettuare la capsuloressi del sacco capsulare. Ampiezza massima manico 10mm.</t>
  </si>
  <si>
    <t>Portaghi sterile monouso curvo senza arresto da 145 mm in acciaio inossidabile per chirurgia oftalmica</t>
  </si>
  <si>
    <t>Pinza sterile monouso corneale modello Bonn in acciaio inossidabile utilizzata durante la chirurgia della cataratta per tenere aperto l'occhio</t>
  </si>
  <si>
    <t>e</t>
  </si>
  <si>
    <t>Microforbici Cutter monouso (solo punta) e Micropinza monouso (solo punta) con branche terminali seghettate compatibili con manipolo riutilizzabile in titanio. Stelo e lame delle microforbici coassiali: acciaio inox. Punte della micropinza coassiale: titanio. Stelo della micropinza coassiale: acciaio inox o equivalente. Da utilizzarsi per l'impianto di IOL.</t>
  </si>
  <si>
    <t>Cannula monouso sterile per chirurgia retinica mini invasiva per la simultanea infusione di liquidi densi e aspirazione dei fluidi intraoculari. In acciaio inossidabile ad uso medicale, con provata biocompatibilità. Attacco universal L/L. Il doppio foro consente al chirurgo di mantenere costante la pressione intraoculare durante l'iniezione. Le Cannule vengono fornite sterili in blister singoli o equivalente.</t>
  </si>
  <si>
    <t>Trapano corneale per cheratoplastica perforante, sterile, a suzione, monouso, con diametri da 6,50 a 9,00 mm comprensivi dei quarti di misure intermedie. Provvisto di lama in acciaio inossidabile, ghiera ed indicatore di centratura o equivalente. Impugnatura ergonomica, latex free e DHEP free, confezione singola.</t>
  </si>
  <si>
    <t>Punches corneali per la trapanazione del tessuto corneale, senza suzione, con lama in acciaio inossidabile, a profilo ultrasottile, diametri da 6,00 a 9,75 mm comprensivi dei quarti di misure intermedie o equivalente. Sterile, monouso, latex free e DHEP free, confezione singola.</t>
  </si>
  <si>
    <t>Retrattori per dilatazione iridea, flessibili, con cursore in silicone per fissare temporaneamente líiride. Monouso, sterili in confezione da 5 uncini o equivalente.</t>
  </si>
  <si>
    <t xml:space="preserve">Spugna ovale per fissazione sclerale in silicone per distacco di retina 5/4 mm x 80 mm </t>
  </si>
  <si>
    <r>
      <t xml:space="preserve">Microbisturi monouso, sterile, </t>
    </r>
    <r>
      <rPr>
        <i/>
        <u/>
        <sz val="11"/>
        <color theme="1"/>
        <rFont val="Calibri"/>
        <family val="2"/>
        <scheme val="minor"/>
      </rPr>
      <t>angolato,</t>
    </r>
    <r>
      <rPr>
        <sz val="11"/>
        <color theme="1"/>
        <rFont val="Calibri"/>
        <family val="2"/>
        <scheme val="minor"/>
      </rPr>
      <t xml:space="preserve"> per faco, con lama appuntita in acciaio inox, di qualità medicale, atossico, satinato, antiriflesso, ultrasottile, calibri vari </t>
    </r>
    <r>
      <rPr>
        <i/>
        <sz val="11"/>
        <color theme="1"/>
        <rFont val="Calibri"/>
        <family val="2"/>
        <scheme val="minor"/>
      </rPr>
      <t>(almeno 2,4mm)</t>
    </r>
  </si>
  <si>
    <t>N.B. Il manico dei bisturi deve avere caratteristiche antiscivolo, un supporto tra lama e manico e deve essere in materiale termoresistente e di misura tale da rendere agevole l'impugnatura.</t>
  </si>
  <si>
    <t>Colorante tissutale per la colorazione delle membrane retiniche, della membrana limitante interna e delle proliferazioni vitroretiniche composto da una soluzione sterile di Blu di Metilene (Trypan Blu) e di brilliant blue g (blu brillante g) o Blulife o equivalente sciolti in un tampone fosfato fisiologico di cloruro di sodio. Siringa preriempita in vetro sterile da circa 2 ml contenente circa 0,5 ml di soluzione.</t>
  </si>
  <si>
    <t>Soluzione sterile di Trypan blu 0,1% apirogeno e puro al 97%. Siringa in vetro preriempita sterile contenente 1 ml di soluzione. Destinazione d'uso chirurgia oftalmica per la colorazione della capsula anteriore del cristallino o equivalente.</t>
  </si>
  <si>
    <t>Ago monouso sterile, punta tronca. Manipolo in plastica, ergonomico, con cursore per manovrare estensibilità, dotato nella parte prossimale di cannula in silicone (o altro materiale idoneo) flessibile, coassiale, con terminale atto al raccordo con i comuni sistemi di infusione/aspirazione o equivalente. Diametro: 23 G con parte estensibile 41 G. Lunghezza: 30 mm</t>
  </si>
  <si>
    <t>CRITERIO D</t>
  </si>
  <si>
    <t xml:space="preserve">CRITERIO C </t>
  </si>
  <si>
    <t xml:space="preserve">CRITERIO B </t>
  </si>
  <si>
    <t xml:space="preserve">CRITERIO A </t>
  </si>
  <si>
    <t>Eventuali ulteriori dispositivi non previsti che si ritiene di proporre perche' riferiti al presente lotto ancorche' non soggetti a valutazione economica e non ricompresi nel valore presunto del lotto</t>
  </si>
  <si>
    <t>Microbisturi oftalmici</t>
  </si>
  <si>
    <t>Strumentario chirurgico monouso</t>
  </si>
  <si>
    <t>Lente intraoculare da sacco (IOL) asferica pieghevole  in materiale acrilico idrofobo a basso contenuto di acqua con filtro UV e filtro per luce BLU</t>
  </si>
  <si>
    <t>Lente intraoculare da sacco (IOL) TRE PEZZI sferica pieghevole in materiale acrilico idrofobo a basso contenuto di acqua con filtro UV</t>
  </si>
  <si>
    <t xml:space="preserve">Lente intraoculare da sacco (IOL) TORICA pieghevole asferica per la correzione dell’astigmatismo </t>
  </si>
  <si>
    <t xml:space="preserve">Lente EDOF (Extended Depth Of Focus) da sacco (IOL) monopezzo pieghevole asferica a profondita’ di fuoco esteso </t>
  </si>
  <si>
    <t>Ago monouso sterile punta tronca con manipolo in plastica</t>
  </si>
  <si>
    <t>Cannula monouso sterile per chirurgia retinica mini invasiva</t>
  </si>
  <si>
    <t>Trapano e punches corneali</t>
  </si>
  <si>
    <t>Retrattori per dilatazione iridea</t>
  </si>
  <si>
    <t>CRITERIO E</t>
  </si>
  <si>
    <t>FABB 5 ANNI ASST NORD</t>
  </si>
  <si>
    <t>FABB 5 ANNI ASST OVEST</t>
  </si>
  <si>
    <t>FABB. 5 ANNI ASST RHODENSE</t>
  </si>
  <si>
    <t>fabb. Policlinico 5 anni</t>
  </si>
  <si>
    <t>PREZZO A BASE D'ASTA</t>
  </si>
  <si>
    <t>FABB. 5 ANNI FBF-SACCO</t>
  </si>
  <si>
    <t>NO</t>
  </si>
  <si>
    <t>FABB. ASST DI LODI 5 ANNI</t>
  </si>
  <si>
    <t>FABB. ASST SANTI PAOLO E CARLO 5 ANNI</t>
  </si>
  <si>
    <t>totale sub base d'asta ASST SPC</t>
  </si>
  <si>
    <t>totale sub base d'asta ASST Lodi</t>
  </si>
  <si>
    <t>totale sub base d'asta ASST NORD</t>
  </si>
  <si>
    <t>totale sub base d'asta ASST RHODENSE</t>
  </si>
  <si>
    <t>totale sub base d'asta POLICLINICO</t>
  </si>
  <si>
    <t>totale sub base d'asta NIGUARDA</t>
  </si>
  <si>
    <t>totale sub base d'asta ASST FBF/SACCO</t>
  </si>
  <si>
    <t xml:space="preserve">FABB. ASST SANTI PAOLO E CARLO 12  MESI </t>
  </si>
  <si>
    <t>FABB. ASST LODI 12 MESI</t>
  </si>
  <si>
    <t>FABB.  ASST NORD MILANO 12 ANNUI</t>
  </si>
  <si>
    <t>FABB. ASST/IRCCS RHODENSE 12 MESI</t>
  </si>
  <si>
    <t>FABB. ASST OVEST MILANESE 12 MESI</t>
  </si>
  <si>
    <t>FABB. POLICLINICO 12 MESI</t>
  </si>
  <si>
    <t>FABB. NIGUARDA  12 MESI</t>
  </si>
  <si>
    <t>FABB. ASST FBF SACCO 12 MESI</t>
  </si>
  <si>
    <t>TOTALE A BASE D'ASTA</t>
  </si>
  <si>
    <t>TOTALE CON ADESIONE</t>
  </si>
  <si>
    <t xml:space="preserve">TOTALE </t>
  </si>
  <si>
    <t>IMPORTO PROROGA 6 MESI</t>
  </si>
  <si>
    <t>totale sub base d'asta ASST OVEST MILANESE</t>
  </si>
  <si>
    <t>IMPORTO 20%</t>
  </si>
  <si>
    <t>IMPORTO RINNOVO 12 MESI</t>
  </si>
  <si>
    <t>ADESIONE POSTUMA 50%</t>
  </si>
  <si>
    <t>FORNITURE COMPLEMENTARI 30%</t>
  </si>
  <si>
    <t>FABB. NIGUARDA 5 ANNI</t>
  </si>
  <si>
    <t>BASE D'ASTA SPC</t>
  </si>
  <si>
    <t>BASE D'ASTA ASST NORD</t>
  </si>
  <si>
    <t>BASE D'ASTA ASST Lodi</t>
  </si>
  <si>
    <t>BASE D'ASTA ASST OVEST MILANESE</t>
  </si>
  <si>
    <t>BASE D'ASTA ASST RHODENSE</t>
  </si>
  <si>
    <t>BASE D'ASTA NIGUARDA</t>
  </si>
  <si>
    <t>BASE D'ASTA ASST FBF/SACCO</t>
  </si>
  <si>
    <t>ì</t>
  </si>
  <si>
    <t>BASE D'ASTA POLICLINICOPOLICLINICO</t>
  </si>
  <si>
    <t>OPZIONI</t>
  </si>
  <si>
    <t>9516926FC4</t>
  </si>
  <si>
    <t>95169557B5</t>
  </si>
  <si>
    <t>95170359B9</t>
  </si>
  <si>
    <t>951713081F</t>
  </si>
  <si>
    <t>9517156D92</t>
  </si>
  <si>
    <t>9517212BC9</t>
  </si>
  <si>
    <t>9517311D7B</t>
  </si>
  <si>
    <t>951733407A</t>
  </si>
  <si>
    <t>95173941FD</t>
  </si>
  <si>
    <t>951747332E</t>
  </si>
  <si>
    <r>
      <rPr>
        <b/>
        <sz val="12"/>
        <color theme="1"/>
        <rFont val="Calibri"/>
        <family val="2"/>
        <scheme val="minor"/>
      </rPr>
      <t>Anello monouso tipo Malyugin per la dilatazione temporanea dell’iride</t>
    </r>
    <r>
      <rPr>
        <sz val="12"/>
        <color theme="1"/>
        <rFont val="Calibri"/>
        <family val="2"/>
        <scheme val="minor"/>
      </rPr>
      <t>. L'anello ha forma quadrangolare, molle a spirale poste in corrispondenza di ciascuno dei quattro angoli. Fornito pre-montato su apposito iniettore monouso. Diametri vari 6.mm &gt; 7 mm o equivalente.</t>
    </r>
  </si>
  <si>
    <t>9517501A47</t>
  </si>
  <si>
    <t>95175334B1</t>
  </si>
  <si>
    <r>
      <rPr>
        <b/>
        <sz val="12"/>
        <color theme="1"/>
        <rFont val="Calibri"/>
        <family val="2"/>
        <scheme val="minor"/>
      </rPr>
      <t xml:space="preserve">Drenaggio non valvolato sterile monouso </t>
    </r>
    <r>
      <rPr>
        <sz val="11"/>
        <color theme="1"/>
        <rFont val="Calibri"/>
        <family val="2"/>
        <scheme val="minor"/>
      </rPr>
      <t>costituito da tubo di drenaggio (diametro 0.47mm circa -lume del tubo di 0.127mm circa) e piatto flessibile (superficie del piatto 342mm2 circa), entrambi in silicone medico ad elevata biocompatibilità. Forma allungata e larga, porzione di piatto non completamente ricoperta dai muscoli retti. Utilizzato per regolarizzare l’aumento della pressione dell’occhio prevenendo l’ulteriore progressione del danno dato dal glaucoma. Ha la capacità di drenare l’umore acqueo dall’interno del bulbo oculare verso l’esterno dell’occhio.</t>
    </r>
  </si>
  <si>
    <t>95175968AD</t>
  </si>
  <si>
    <t>CIG DELLA GARA N. 8822651</t>
  </si>
  <si>
    <t>TOTALE FABB-</t>
  </si>
  <si>
    <t>Associazione di 2 siringhe in un'unica confezione contenente:Siringa da 0,55 ML con luer lock comprensivo di anello di sicurezza e cannula da iniezione fluidi viscosi da 27G contenente sostanza viscoelastica composta da Sodio Ialuronato al 1%, peso molecolare di 2 milioni di dalton, preparato sterile apirogeno per chirurgia endoculare.Siringa da 0,50 ML con luer lock comprensivo di anello di sicurezza e cannula da iniezione fluidi viscosi da 27G contenente sostanza viscoelastica composta da Condroitina Sodio Solfato al 4% e Sodio Ialuronato al 3%, peso molecolare 600.000 dalton, preparato sterile apirogeno per chirurgia endoculare o equivalente.</t>
  </si>
  <si>
    <t>BASE D'ASTA POLICLINICO</t>
  </si>
  <si>
    <t>PREZZO A BASE D'ASTA Ma quuesti li avevi indicati? Sono i prezzi a sub base d0asta? Ma non avevano detto di non metterli per lasciare più margine agli OEC</t>
  </si>
  <si>
    <t>TOTALE FABB DI TUTTI GLI ENTI</t>
  </si>
  <si>
    <t>TOTALE APPALTO</t>
  </si>
  <si>
    <t>CUZIONE DEL 2%</t>
  </si>
  <si>
    <t>REQUISITI DI IDONEITA' PARI AL 50% DEL VALORE ANNUO</t>
  </si>
  <si>
    <t>VALORE ANNUO A BASE D'ASTA</t>
  </si>
  <si>
    <t>ESENTE</t>
  </si>
  <si>
    <t>CONTRIBUTO ANAC</t>
  </si>
  <si>
    <t>OLTRE I 20.000.000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</si>
</sst>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quot;€&quot;\ * #,##0.00_-;_-&quot;€&quot;\ * &quot;-&quot;??_-;_-@_-"/>
    <numFmt numFmtId="165" formatCode="&quot;€&quot;\ #,##0.00"/>
    <numFmt numFmtId="166" formatCode="[$-410]General"/>
    <numFmt numFmtId="167" formatCode="[$€-2]\ #,##0;[Red]\-[$€-2]\ #,##0"/>
  </numFmts>
  <fonts count="28"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8"/>
      <name val="Arial"/>
      <family val="2"/>
    </font>
    <font>
      <b/>
      <sz val="20"/>
      <color theme="1"/>
      <name val="Calibri"/>
      <family val="2"/>
      <scheme val="minor"/>
    </font>
    <font>
      <sz val="12"/>
      <color theme="1"/>
      <name val="Calibri"/>
      <family val="2"/>
      <scheme val="minor"/>
    </font>
    <font>
      <sz val="11"/>
      <name val="Calibri"/>
      <family val="2"/>
      <scheme val="minor"/>
    </font>
    <font>
      <sz val="12"/>
      <name val="Calibri"/>
      <family val="2"/>
      <scheme val="minor"/>
    </font>
    <font>
      <sz val="16"/>
      <color theme="1"/>
      <name val="Calibri"/>
      <family val="2"/>
      <scheme val="minor"/>
    </font>
    <font>
      <b/>
      <sz val="16"/>
      <color theme="1"/>
      <name val="Calibri"/>
      <family val="2"/>
      <scheme val="minor"/>
    </font>
    <font>
      <i/>
      <u/>
      <sz val="11"/>
      <color theme="1"/>
      <name val="Calibri"/>
      <family val="2"/>
      <scheme val="minor"/>
    </font>
    <font>
      <i/>
      <sz val="11"/>
      <color theme="1"/>
      <name val="Calibri"/>
      <family val="2"/>
      <scheme val="minor"/>
    </font>
    <font>
      <b/>
      <sz val="16"/>
      <name val="Calibri"/>
      <family val="2"/>
      <scheme val="minor"/>
    </font>
    <font>
      <b/>
      <sz val="12"/>
      <name val="Calibri"/>
      <family val="2"/>
      <scheme val="minor"/>
    </font>
    <font>
      <b/>
      <sz val="18"/>
      <name val="Calibri"/>
      <family val="2"/>
      <scheme val="minor"/>
    </font>
    <font>
      <b/>
      <sz val="11"/>
      <name val="Calibri"/>
      <family val="2"/>
      <scheme val="minor"/>
    </font>
    <font>
      <sz val="11"/>
      <color theme="1"/>
      <name val="Calibri"/>
      <family val="2"/>
      <scheme val="minor"/>
    </font>
    <font>
      <b/>
      <sz val="14"/>
      <name val="Calibri"/>
      <family val="2"/>
      <scheme val="minor"/>
    </font>
    <font>
      <b/>
      <sz val="18"/>
      <color rgb="FFFF0000"/>
      <name val="Calibri"/>
      <family val="2"/>
      <scheme val="minor"/>
    </font>
    <font>
      <sz val="8"/>
      <name val="Arial"/>
      <family val="2"/>
    </font>
    <font>
      <sz val="18"/>
      <name val="Calibri"/>
      <family val="2"/>
      <scheme val="minor"/>
    </font>
    <font>
      <sz val="11"/>
      <color indexed="8"/>
      <name val="Calibri"/>
      <family val="2"/>
    </font>
    <font>
      <sz val="12"/>
      <color indexed="63"/>
      <name val="Calibri"/>
      <family val="2"/>
    </font>
    <font>
      <sz val="12"/>
      <name val="Calibri"/>
      <family val="2"/>
    </font>
    <font>
      <b/>
      <sz val="18"/>
      <color indexed="53"/>
      <name val="Calibri"/>
      <family val="2"/>
    </font>
    <font>
      <sz val="16"/>
      <name val="Calibri"/>
      <family val="2"/>
      <scheme val="minor"/>
    </font>
    <font>
      <b/>
      <sz val="11"/>
      <color rgb="FFFF0000"/>
      <name val="Calibri"/>
      <family val="2"/>
      <scheme val="minor"/>
    </font>
  </fonts>
  <fills count="17">
    <fill>
      <patternFill patternType="none"/>
    </fill>
    <fill>
      <patternFill patternType="gray125"/>
    </fill>
    <fill>
      <patternFill patternType="solid">
        <fgColor rgb="FFC4D79B"/>
        <bgColor rgb="FF000000"/>
      </patternFill>
    </fill>
    <fill>
      <patternFill patternType="solid">
        <fgColor rgb="FFFFFF0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F6699"/>
        <bgColor indexed="64"/>
      </patternFill>
    </fill>
    <fill>
      <patternFill patternType="solid">
        <fgColor rgb="FF99FF33"/>
        <bgColor indexed="64"/>
      </patternFill>
    </fill>
    <fill>
      <patternFill patternType="solid">
        <fgColor rgb="FFFFFF00"/>
        <bgColor rgb="FF000000"/>
      </patternFill>
    </fill>
    <fill>
      <patternFill patternType="solid">
        <fgColor theme="5" tint="0.39997558519241921"/>
        <bgColor rgb="FF000000"/>
      </patternFill>
    </fill>
    <fill>
      <patternFill patternType="solid">
        <fgColor theme="7" tint="0.59999389629810485"/>
        <bgColor rgb="FF000000"/>
      </patternFill>
    </fill>
    <fill>
      <patternFill patternType="solid">
        <fgColor theme="9" tint="0.39997558519241921"/>
        <bgColor rgb="FF000000"/>
      </patternFill>
    </fill>
    <fill>
      <patternFill patternType="solid">
        <fgColor rgb="FFFF6699"/>
        <bgColor rgb="FF000000"/>
      </patternFill>
    </fill>
    <fill>
      <patternFill patternType="solid">
        <fgColor theme="3" tint="0.39997558519241921"/>
        <bgColor indexed="64"/>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s>
  <cellStyleXfs count="3">
    <xf numFmtId="0" fontId="0" fillId="0" borderId="0"/>
    <xf numFmtId="164" fontId="17" fillId="0" borderId="0" applyFont="0" applyFill="0" applyBorder="0" applyAlignment="0" applyProtection="0"/>
    <xf numFmtId="165" fontId="22" fillId="0" borderId="0"/>
  </cellStyleXfs>
  <cellXfs count="267">
    <xf numFmtId="0" fontId="0" fillId="0" borderId="0" xfId="0"/>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1" fillId="0" borderId="0" xfId="0" applyFont="1" applyBorder="1" applyAlignment="1">
      <alignment horizontal="right" vertical="center" wrapText="1"/>
    </xf>
    <xf numFmtId="0" fontId="1" fillId="0" borderId="2" xfId="0" applyFont="1" applyBorder="1" applyAlignment="1">
      <alignment horizontal="center" vertical="center" wrapText="1"/>
    </xf>
    <xf numFmtId="0" fontId="1" fillId="0" borderId="0" xfId="0" applyFont="1" applyFill="1" applyBorder="1" applyAlignment="1">
      <alignment horizontal="righ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2"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6" fillId="0" borderId="6" xfId="0" applyFont="1" applyBorder="1" applyAlignment="1">
      <alignment horizontal="center" vertical="center"/>
    </xf>
    <xf numFmtId="0" fontId="10" fillId="0" borderId="1" xfId="0" applyFont="1" applyBorder="1" applyAlignment="1">
      <alignment horizontal="center" vertical="center"/>
    </xf>
    <xf numFmtId="0" fontId="6"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0"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0" fillId="0" borderId="9" xfId="0" applyFont="1" applyBorder="1" applyAlignment="1">
      <alignment horizontal="center" vertical="center"/>
    </xf>
    <xf numFmtId="0" fontId="6"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10" fillId="0" borderId="5"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19"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16" fillId="10" borderId="1" xfId="0" applyFont="1" applyFill="1" applyBorder="1" applyAlignment="1">
      <alignment horizontal="center" vertical="center" wrapText="1"/>
    </xf>
    <xf numFmtId="0" fontId="6" fillId="0" borderId="10" xfId="0" applyNumberFormat="1" applyFont="1" applyBorder="1" applyAlignment="1">
      <alignment horizontal="center" vertical="center"/>
    </xf>
    <xf numFmtId="0" fontId="6" fillId="0" borderId="10"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6" fillId="0" borderId="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21" fillId="0" borderId="0"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166" fontId="23" fillId="0" borderId="17" xfId="2" applyNumberFormat="1" applyFont="1" applyFill="1" applyBorder="1" applyAlignment="1">
      <alignment horizontal="center" vertical="center"/>
    </xf>
    <xf numFmtId="166" fontId="24" fillId="0" borderId="17" xfId="2" applyNumberFormat="1" applyFont="1" applyFill="1" applyBorder="1" applyAlignment="1">
      <alignment horizontal="center" vertical="center"/>
    </xf>
    <xf numFmtId="166" fontId="23" fillId="0" borderId="16" xfId="2" applyNumberFormat="1" applyFont="1" applyFill="1" applyBorder="1" applyAlignment="1">
      <alignment horizontal="center" vertical="center"/>
    </xf>
    <xf numFmtId="166" fontId="23" fillId="0" borderId="18" xfId="2" applyNumberFormat="1" applyFont="1" applyFill="1" applyBorder="1" applyAlignment="1">
      <alignment horizontal="center" vertical="center"/>
    </xf>
    <xf numFmtId="166" fontId="24" fillId="0" borderId="19" xfId="2" applyNumberFormat="1" applyFont="1" applyFill="1" applyBorder="1" applyAlignment="1">
      <alignment horizontal="center" vertical="center"/>
    </xf>
    <xf numFmtId="166" fontId="23" fillId="0" borderId="20" xfId="2" applyNumberFormat="1" applyFont="1" applyFill="1" applyBorder="1" applyAlignment="1">
      <alignment horizontal="center" vertical="center"/>
    </xf>
    <xf numFmtId="166" fontId="25" fillId="0" borderId="0" xfId="2" applyNumberFormat="1" applyFont="1" applyFill="1" applyBorder="1" applyAlignment="1">
      <alignment horizontal="center" vertical="center"/>
    </xf>
    <xf numFmtId="166" fontId="24" fillId="0" borderId="16" xfId="2" applyNumberFormat="1" applyFont="1" applyFill="1" applyBorder="1" applyAlignment="1">
      <alignment horizontal="center" vertical="center"/>
    </xf>
    <xf numFmtId="166" fontId="23" fillId="0" borderId="19" xfId="2" applyNumberFormat="1" applyFont="1" applyFill="1" applyBorder="1" applyAlignment="1">
      <alignment horizontal="center" vertical="center"/>
    </xf>
    <xf numFmtId="166" fontId="22" fillId="0" borderId="17" xfId="2"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0" xfId="0" applyFont="1" applyAlignment="1">
      <alignment horizontal="center" vertical="center"/>
    </xf>
    <xf numFmtId="0" fontId="0" fillId="0" borderId="1" xfId="0" applyBorder="1" applyAlignment="1">
      <alignment horizontal="center" vertical="center"/>
    </xf>
    <xf numFmtId="164" fontId="2" fillId="0" borderId="1" xfId="1" applyFont="1" applyBorder="1" applyAlignment="1">
      <alignment horizontal="center" vertical="center" wrapText="1"/>
    </xf>
    <xf numFmtId="0" fontId="6" fillId="0" borderId="1" xfId="1" applyNumberFormat="1" applyFont="1" applyBorder="1" applyAlignment="1">
      <alignment horizontal="center" vertical="center" wrapText="1"/>
    </xf>
    <xf numFmtId="164" fontId="1" fillId="0" borderId="1" xfId="1" applyFont="1" applyBorder="1" applyAlignment="1">
      <alignment horizontal="center" vertical="center" wrapText="1"/>
    </xf>
    <xf numFmtId="1" fontId="0" fillId="0" borderId="1" xfId="0" applyNumberFormat="1" applyBorder="1" applyAlignment="1">
      <alignment horizontal="center" vertical="center"/>
    </xf>
    <xf numFmtId="0" fontId="0" fillId="0" borderId="0" xfId="0" applyAlignment="1">
      <alignment horizontal="center" vertical="center"/>
    </xf>
    <xf numFmtId="0" fontId="20" fillId="0" borderId="11" xfId="0" applyNumberFormat="1" applyFont="1" applyBorder="1" applyAlignment="1">
      <alignment horizontal="center" vertical="center" wrapText="1"/>
    </xf>
    <xf numFmtId="166" fontId="4" fillId="0" borderId="17" xfId="2" applyNumberFormat="1" applyFont="1" applyFill="1" applyBorder="1" applyAlignment="1">
      <alignment horizontal="center" vertical="center" wrapText="1"/>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Fill="1" applyBorder="1" applyAlignment="1">
      <alignment horizontal="center" vertical="center"/>
    </xf>
    <xf numFmtId="0" fontId="5" fillId="0" borderId="10" xfId="0" applyFont="1" applyBorder="1" applyAlignment="1">
      <alignment horizontal="center" vertical="center"/>
    </xf>
    <xf numFmtId="1" fontId="0" fillId="0" borderId="1" xfId="0" applyNumberFormat="1" applyBorder="1" applyAlignment="1">
      <alignment horizontal="center" vertical="center" wrapText="1"/>
    </xf>
    <xf numFmtId="0" fontId="7" fillId="0" borderId="1" xfId="0" applyFont="1" applyFill="1" applyBorder="1" applyAlignment="1">
      <alignment horizontal="center" vertical="center"/>
    </xf>
    <xf numFmtId="0" fontId="8"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4" fontId="16" fillId="0" borderId="1" xfId="1"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7" fillId="0" borderId="0" xfId="0" applyFont="1" applyFill="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64" fontId="2" fillId="0" borderId="1" xfId="1" applyFont="1" applyFill="1" applyBorder="1" applyAlignment="1">
      <alignment horizontal="center" vertical="center" wrapText="1"/>
    </xf>
    <xf numFmtId="164" fontId="1" fillId="0" borderId="1" xfId="1" applyFon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0" xfId="0" applyFill="1" applyAlignment="1">
      <alignment horizontal="center" vertical="center"/>
    </xf>
    <xf numFmtId="0" fontId="6" fillId="0" borderId="1" xfId="1" applyNumberFormat="1" applyFont="1" applyFill="1" applyBorder="1" applyAlignment="1">
      <alignment horizontal="center" vertical="center" wrapText="1"/>
    </xf>
    <xf numFmtId="0" fontId="20" fillId="0" borderId="11" xfId="0" applyNumberFormat="1" applyFont="1" applyFill="1" applyBorder="1" applyAlignment="1">
      <alignment horizontal="center" vertical="center" wrapText="1"/>
    </xf>
    <xf numFmtId="166" fontId="4" fillId="0" borderId="21" xfId="2"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166" fontId="4" fillId="0" borderId="18" xfId="2"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xf>
    <xf numFmtId="166" fontId="22" fillId="0" borderId="0" xfId="2" applyNumberFormat="1" applyFill="1" applyAlignment="1">
      <alignment horizontal="center" vertical="center"/>
    </xf>
    <xf numFmtId="1" fontId="0" fillId="0" borderId="1" xfId="0" applyNumberFormat="1" applyFont="1" applyFill="1" applyBorder="1" applyAlignment="1">
      <alignment horizontal="center" vertical="center"/>
    </xf>
    <xf numFmtId="0" fontId="0" fillId="0" borderId="0" xfId="0" applyFont="1" applyFill="1" applyAlignment="1">
      <alignment horizontal="center" vertical="center"/>
    </xf>
    <xf numFmtId="0" fontId="1" fillId="0" borderId="0" xfId="0" applyFont="1" applyAlignment="1">
      <alignment horizontal="center" vertical="center"/>
    </xf>
    <xf numFmtId="0" fontId="6" fillId="0" borderId="0" xfId="1" applyNumberFormat="1" applyFont="1" applyAlignment="1">
      <alignment horizontal="center" vertical="center" wrapText="1"/>
    </xf>
    <xf numFmtId="0" fontId="0" fillId="0" borderId="0" xfId="0" applyAlignment="1">
      <alignment horizontal="center" vertical="center" wrapText="1"/>
    </xf>
    <xf numFmtId="0" fontId="2" fillId="0" borderId="6" xfId="0" applyFont="1" applyBorder="1" applyAlignment="1">
      <alignment horizontal="justify" vertical="top" wrapText="1"/>
    </xf>
    <xf numFmtId="0" fontId="0" fillId="0" borderId="6" xfId="0" applyBorder="1" applyAlignment="1">
      <alignment horizontal="justify" vertical="top" wrapText="1"/>
    </xf>
    <xf numFmtId="0" fontId="7" fillId="0" borderId="6" xfId="0" applyFont="1" applyBorder="1" applyAlignment="1">
      <alignment horizontal="justify" vertical="top" wrapText="1"/>
    </xf>
    <xf numFmtId="0" fontId="2" fillId="0" borderId="6" xfId="0" applyFont="1" applyFill="1" applyBorder="1" applyAlignment="1">
      <alignment horizontal="justify" vertical="top" wrapText="1"/>
    </xf>
    <xf numFmtId="0" fontId="7" fillId="0" borderId="13" xfId="0" applyFont="1" applyBorder="1" applyAlignment="1">
      <alignment horizontal="justify" vertical="top" wrapText="1"/>
    </xf>
    <xf numFmtId="0" fontId="0" fillId="0" borderId="15" xfId="0" applyBorder="1" applyAlignment="1">
      <alignment horizontal="justify" vertical="top" wrapText="1"/>
    </xf>
    <xf numFmtId="0" fontId="0" fillId="0" borderId="15" xfId="0" applyFill="1" applyBorder="1" applyAlignment="1">
      <alignment horizontal="justify" vertical="top" wrapText="1"/>
    </xf>
    <xf numFmtId="0" fontId="14" fillId="0" borderId="0" xfId="0" applyFont="1" applyFill="1" applyBorder="1" applyAlignment="1">
      <alignment horizontal="justify" vertical="top"/>
    </xf>
    <xf numFmtId="0" fontId="0" fillId="0" borderId="1" xfId="0" applyFill="1" applyBorder="1" applyAlignment="1">
      <alignment horizontal="justify" vertical="top" wrapText="1"/>
    </xf>
    <xf numFmtId="0" fontId="0" fillId="0" borderId="2" xfId="0" applyFill="1" applyBorder="1" applyAlignment="1">
      <alignment horizontal="justify" vertical="top" wrapText="1"/>
    </xf>
    <xf numFmtId="0" fontId="2" fillId="0" borderId="1" xfId="0" applyFont="1" applyFill="1" applyBorder="1" applyAlignment="1">
      <alignment horizontal="justify" vertical="top" wrapText="1"/>
    </xf>
    <xf numFmtId="0" fontId="6" fillId="0" borderId="1" xfId="0" applyFont="1" applyFill="1" applyBorder="1" applyAlignment="1">
      <alignment horizontal="justify" vertical="top" wrapText="1"/>
    </xf>
    <xf numFmtId="0" fontId="0" fillId="0" borderId="0" xfId="0" applyAlignment="1">
      <alignment horizontal="justify" vertical="top"/>
    </xf>
    <xf numFmtId="0" fontId="0" fillId="0" borderId="0" xfId="0" applyAlignment="1">
      <alignment horizontal="justify" vertical="top" wrapText="1"/>
    </xf>
    <xf numFmtId="165" fontId="0" fillId="0" borderId="1" xfId="0" applyNumberFormat="1" applyBorder="1" applyAlignment="1">
      <alignment horizontal="center" vertical="center"/>
    </xf>
    <xf numFmtId="164" fontId="3" fillId="0" borderId="1" xfId="1" applyFont="1" applyBorder="1" applyAlignment="1">
      <alignment horizontal="center" vertical="center"/>
    </xf>
    <xf numFmtId="164" fontId="0" fillId="0" borderId="1" xfId="0" applyNumberFormat="1" applyBorder="1" applyAlignment="1">
      <alignment horizontal="center" vertical="center"/>
    </xf>
    <xf numFmtId="164" fontId="3" fillId="0" borderId="1" xfId="1" applyFont="1" applyFill="1" applyBorder="1" applyAlignment="1">
      <alignment horizontal="center" vertical="center" wrapText="1"/>
    </xf>
    <xf numFmtId="164" fontId="18" fillId="0" borderId="1" xfId="1" applyFont="1" applyFill="1" applyBorder="1" applyAlignment="1">
      <alignment horizontal="center" vertical="center"/>
    </xf>
    <xf numFmtId="164" fontId="3" fillId="0" borderId="1" xfId="1" applyFont="1" applyFill="1" applyBorder="1" applyAlignment="1">
      <alignment horizontal="center" vertical="center"/>
    </xf>
    <xf numFmtId="166" fontId="23" fillId="0" borderId="21" xfId="2" applyNumberFormat="1" applyFont="1" applyFill="1" applyBorder="1" applyAlignment="1">
      <alignment horizontal="center" vertical="center"/>
    </xf>
    <xf numFmtId="166" fontId="22" fillId="0" borderId="1" xfId="2" applyNumberFormat="1" applyFill="1" applyBorder="1" applyAlignment="1">
      <alignment horizontal="center" vertical="center"/>
    </xf>
    <xf numFmtId="0" fontId="1" fillId="0" borderId="1" xfId="0" applyFont="1" applyBorder="1" applyAlignment="1">
      <alignment horizontal="center" vertical="center" wrapText="1"/>
    </xf>
    <xf numFmtId="0" fontId="16" fillId="2" borderId="6"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166" fontId="16" fillId="9" borderId="16" xfId="2" applyNumberFormat="1" applyFont="1" applyFill="1" applyBorder="1" applyAlignment="1">
      <alignment horizontal="center" vertical="center" wrapText="1"/>
    </xf>
    <xf numFmtId="0" fontId="1" fillId="4" borderId="1" xfId="1" applyNumberFormat="1" applyFont="1" applyFill="1" applyBorder="1" applyAlignment="1">
      <alignment horizontal="center" vertical="center" wrapText="1"/>
    </xf>
    <xf numFmtId="164" fontId="0" fillId="0" borderId="0" xfId="0" applyNumberFormat="1" applyAlignment="1">
      <alignment horizontal="center" vertical="center"/>
    </xf>
    <xf numFmtId="9" fontId="1" fillId="0" borderId="1" xfId="0" applyNumberFormat="1" applyFont="1" applyBorder="1" applyAlignment="1">
      <alignment horizontal="center" vertical="center"/>
    </xf>
    <xf numFmtId="9" fontId="1" fillId="0" borderId="1" xfId="0" applyNumberFormat="1" applyFont="1" applyBorder="1" applyAlignment="1">
      <alignment horizontal="center" vertical="center" wrapText="1"/>
    </xf>
    <xf numFmtId="4" fontId="0" fillId="0" borderId="0" xfId="0" applyNumberFormat="1" applyAlignment="1">
      <alignment horizontal="center" vertical="center"/>
    </xf>
    <xf numFmtId="164" fontId="0" fillId="0" borderId="1" xfId="0" applyNumberFormat="1" applyFill="1" applyBorder="1" applyAlignment="1">
      <alignment horizontal="center" vertical="center"/>
    </xf>
    <xf numFmtId="164" fontId="0" fillId="0" borderId="0" xfId="0" applyNumberFormat="1" applyFill="1" applyAlignment="1">
      <alignment horizontal="center" vertical="center"/>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applyAlignment="1">
      <alignment horizontal="center" vertical="center"/>
    </xf>
    <xf numFmtId="0" fontId="1" fillId="0" borderId="0" xfId="0" applyNumberFormat="1" applyFont="1" applyAlignment="1">
      <alignment horizontal="center" vertical="center" wrapText="1"/>
    </xf>
    <xf numFmtId="164" fontId="0" fillId="0" borderId="10" xfId="0" applyNumberFormat="1" applyBorder="1" applyAlignment="1">
      <alignment horizontal="center" vertical="center"/>
    </xf>
    <xf numFmtId="0" fontId="2" fillId="0" borderId="1" xfId="0" applyFont="1" applyBorder="1" applyAlignment="1">
      <alignment horizontal="center"/>
    </xf>
    <xf numFmtId="0" fontId="10" fillId="0" borderId="5" xfId="0" applyFont="1" applyBorder="1" applyAlignment="1">
      <alignment horizontal="center" vertical="center"/>
    </xf>
    <xf numFmtId="164" fontId="0" fillId="0" borderId="5" xfId="0" applyNumberFormat="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Border="1" applyAlignment="1">
      <alignment vertical="center"/>
    </xf>
    <xf numFmtId="0" fontId="10" fillId="0" borderId="12" xfId="0" applyFont="1" applyBorder="1" applyAlignment="1">
      <alignment vertical="center"/>
    </xf>
    <xf numFmtId="0" fontId="10" fillId="0" borderId="2" xfId="0" applyFont="1" applyBorder="1" applyAlignment="1">
      <alignment vertical="center"/>
    </xf>
    <xf numFmtId="0" fontId="4" fillId="0" borderId="11" xfId="0" applyFont="1" applyBorder="1" applyAlignment="1">
      <alignment vertical="center" wrapText="1"/>
    </xf>
    <xf numFmtId="0" fontId="1" fillId="0" borderId="15" xfId="0" applyFont="1" applyBorder="1" applyAlignment="1">
      <alignment horizontal="justify" vertical="top" wrapText="1"/>
    </xf>
    <xf numFmtId="0" fontId="1" fillId="0" borderId="13" xfId="0" applyFont="1" applyBorder="1" applyAlignment="1">
      <alignment horizontal="justify" vertical="top" wrapText="1"/>
    </xf>
    <xf numFmtId="0" fontId="0" fillId="0" borderId="1" xfId="0" applyBorder="1"/>
    <xf numFmtId="0" fontId="0" fillId="0" borderId="1" xfId="0" applyBorder="1" applyAlignment="1">
      <alignment horizontal="justify" vertical="top" wrapText="1"/>
    </xf>
    <xf numFmtId="0" fontId="2" fillId="0" borderId="2" xfId="0" applyFont="1" applyFill="1" applyBorder="1" applyAlignment="1">
      <alignment horizontal="justify" vertical="top" wrapText="1"/>
    </xf>
    <xf numFmtId="165" fontId="0" fillId="0" borderId="1" xfId="0" applyNumberFormat="1" applyFill="1" applyBorder="1" applyAlignment="1">
      <alignment horizontal="center" vertical="center"/>
    </xf>
    <xf numFmtId="164" fontId="0" fillId="0" borderId="10" xfId="0" applyNumberFormat="1" applyFill="1" applyBorder="1" applyAlignment="1">
      <alignment horizontal="center" vertical="center"/>
    </xf>
    <xf numFmtId="164" fontId="0" fillId="0" borderId="5" xfId="0" applyNumberFormat="1" applyFill="1" applyBorder="1" applyAlignment="1">
      <alignment horizontal="center" vertical="center"/>
    </xf>
    <xf numFmtId="164" fontId="0" fillId="0" borderId="5" xfId="0" applyNumberFormat="1" applyFill="1" applyBorder="1" applyAlignment="1">
      <alignment vertical="center"/>
    </xf>
    <xf numFmtId="0" fontId="1" fillId="15"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7" fillId="0" borderId="1" xfId="0" applyFont="1" applyFill="1" applyBorder="1" applyAlignment="1">
      <alignment horizontal="justify" vertical="top" wrapText="1"/>
    </xf>
    <xf numFmtId="0" fontId="8" fillId="0" borderId="10" xfId="0" applyFont="1" applyBorder="1" applyAlignment="1">
      <alignment horizontal="center" vertical="center"/>
    </xf>
    <xf numFmtId="164"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64"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64" fontId="3" fillId="3" borderId="1" xfId="1" applyFont="1" applyFill="1" applyBorder="1" applyAlignment="1">
      <alignment horizontal="center" vertical="center"/>
    </xf>
    <xf numFmtId="164" fontId="3" fillId="3" borderId="1" xfId="1" applyFont="1" applyFill="1" applyBorder="1" applyAlignment="1">
      <alignment horizontal="center" vertical="center" wrapText="1"/>
    </xf>
    <xf numFmtId="164" fontId="18" fillId="3" borderId="1" xfId="1" applyFont="1" applyFill="1" applyBorder="1" applyAlignment="1">
      <alignment horizontal="center" vertical="center" wrapText="1"/>
    </xf>
    <xf numFmtId="164" fontId="3" fillId="3" borderId="0" xfId="1" applyFont="1" applyFill="1" applyAlignment="1">
      <alignment horizontal="center" vertical="center"/>
    </xf>
    <xf numFmtId="164" fontId="27" fillId="3" borderId="1" xfId="1" applyFont="1" applyFill="1" applyBorder="1" applyAlignment="1">
      <alignment horizontal="center" vertical="center" wrapText="1"/>
    </xf>
    <xf numFmtId="0" fontId="0" fillId="0" borderId="0" xfId="0" applyFill="1" applyAlignment="1">
      <alignment horizontal="justify" vertical="top"/>
    </xf>
    <xf numFmtId="0" fontId="0" fillId="0" borderId="0" xfId="0" applyNumberFormat="1" applyFont="1" applyFill="1" applyAlignment="1">
      <alignment horizontal="center" vertical="center"/>
    </xf>
    <xf numFmtId="0" fontId="6" fillId="0" borderId="0" xfId="1" applyNumberFormat="1" applyFont="1" applyFill="1" applyAlignment="1">
      <alignment horizontal="center" vertical="center" wrapText="1"/>
    </xf>
    <xf numFmtId="0" fontId="0" fillId="0" borderId="0" xfId="0" applyFill="1" applyAlignment="1">
      <alignment horizontal="center" vertical="center" wrapText="1"/>
    </xf>
    <xf numFmtId="164" fontId="3" fillId="0" borderId="0" xfId="1" applyFont="1" applyFill="1" applyAlignment="1">
      <alignment horizontal="center" vertical="center"/>
    </xf>
    <xf numFmtId="1" fontId="0" fillId="0" borderId="0" xfId="0" applyNumberFormat="1" applyFill="1" applyAlignment="1">
      <alignment horizontal="center" vertical="center"/>
    </xf>
    <xf numFmtId="0" fontId="2" fillId="0" borderId="1" xfId="0" applyFont="1" applyBorder="1" applyAlignment="1">
      <alignment horizontal="center" vertical="center"/>
    </xf>
    <xf numFmtId="0" fontId="15" fillId="0" borderId="1" xfId="0" applyFont="1" applyFill="1" applyBorder="1" applyAlignment="1">
      <alignment horizontal="center" vertical="center"/>
    </xf>
    <xf numFmtId="0" fontId="0" fillId="0" borderId="2" xfId="0" applyBorder="1" applyAlignment="1">
      <alignment horizontal="center" vertical="center"/>
    </xf>
    <xf numFmtId="0" fontId="1" fillId="0" borderId="2" xfId="0" applyFont="1" applyBorder="1" applyAlignment="1">
      <alignment horizontal="center" vertical="center"/>
    </xf>
    <xf numFmtId="164" fontId="0" fillId="0" borderId="2" xfId="0" applyNumberFormat="1" applyFill="1" applyBorder="1" applyAlignment="1">
      <alignment horizontal="center" vertical="center"/>
    </xf>
    <xf numFmtId="164" fontId="0" fillId="0" borderId="2" xfId="0" applyNumberFormat="1" applyBorder="1" applyAlignment="1">
      <alignment horizontal="center" vertical="center"/>
    </xf>
    <xf numFmtId="0" fontId="4" fillId="0" borderId="1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lignment vertical="center"/>
    </xf>
    <xf numFmtId="164" fontId="0" fillId="3" borderId="1" xfId="0" applyNumberFormat="1" applyFill="1" applyBorder="1" applyAlignment="1">
      <alignment horizontal="center" vertical="center"/>
    </xf>
    <xf numFmtId="164" fontId="0" fillId="3" borderId="0" xfId="0" applyNumberFormat="1" applyFill="1" applyAlignment="1">
      <alignment horizontal="center" vertical="center"/>
    </xf>
    <xf numFmtId="0" fontId="0" fillId="3" borderId="0" xfId="0" applyFill="1" applyAlignment="1">
      <alignment horizontal="center" vertical="center"/>
    </xf>
    <xf numFmtId="164" fontId="0" fillId="3" borderId="10" xfId="0" applyNumberFormat="1" applyFill="1" applyBorder="1" applyAlignment="1">
      <alignment horizontal="center" vertical="center"/>
    </xf>
    <xf numFmtId="164" fontId="0" fillId="3" borderId="7" xfId="0" applyNumberFormat="1" applyFill="1" applyBorder="1" applyAlignment="1">
      <alignment horizontal="center" vertical="center"/>
    </xf>
    <xf numFmtId="164" fontId="0" fillId="3" borderId="9" xfId="0" applyNumberFormat="1" applyFill="1" applyBorder="1" applyAlignment="1">
      <alignment horizontal="center" vertical="center"/>
    </xf>
    <xf numFmtId="164" fontId="1" fillId="3"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16" borderId="1" xfId="0" applyNumberFormat="1" applyFont="1" applyFill="1" applyBorder="1" applyAlignment="1">
      <alignment horizontal="center" vertical="center"/>
    </xf>
    <xf numFmtId="164" fontId="0" fillId="16" borderId="10" xfId="0" applyNumberFormat="1" applyFill="1" applyBorder="1" applyAlignment="1">
      <alignment horizontal="center" vertical="center"/>
    </xf>
    <xf numFmtId="0" fontId="0" fillId="16" borderId="0" xfId="0" applyFill="1" applyAlignment="1">
      <alignment horizontal="center" vertical="center"/>
    </xf>
    <xf numFmtId="164" fontId="0" fillId="16" borderId="0" xfId="0" applyNumberFormat="1" applyFill="1" applyAlignment="1">
      <alignment horizontal="center" vertical="center"/>
    </xf>
    <xf numFmtId="167" fontId="0" fillId="16" borderId="0" xfId="0" applyNumberFormat="1" applyFill="1" applyAlignment="1">
      <alignment horizontal="center" vertical="center"/>
    </xf>
    <xf numFmtId="164" fontId="0" fillId="3" borderId="5" xfId="0" applyNumberFormat="1" applyFill="1" applyBorder="1" applyAlignment="1">
      <alignment horizontal="center" vertical="center"/>
    </xf>
    <xf numFmtId="164" fontId="0" fillId="3" borderId="12" xfId="0" applyNumberFormat="1" applyFill="1" applyBorder="1" applyAlignment="1">
      <alignment horizontal="center" vertical="center"/>
    </xf>
    <xf numFmtId="164" fontId="0" fillId="3" borderId="2" xfId="0" applyNumberFormat="1" applyFill="1" applyBorder="1" applyAlignment="1">
      <alignment horizontal="center" vertical="center"/>
    </xf>
    <xf numFmtId="0" fontId="10" fillId="0" borderId="5" xfId="0" applyFont="1" applyFill="1" applyBorder="1" applyAlignment="1">
      <alignment horizontal="center" vertical="center"/>
    </xf>
    <xf numFmtId="0" fontId="0" fillId="0" borderId="2" xfId="0"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2" xfId="0" applyFont="1" applyFill="1" applyBorder="1" applyAlignment="1">
      <alignment horizontal="center" vertical="center"/>
    </xf>
    <xf numFmtId="164" fontId="0" fillId="0" borderId="5" xfId="0" applyNumberFormat="1" applyBorder="1" applyAlignment="1">
      <alignment horizontal="center" vertical="center"/>
    </xf>
    <xf numFmtId="164" fontId="0" fillId="0" borderId="12" xfId="0" applyNumberFormat="1" applyBorder="1" applyAlignment="1">
      <alignment horizontal="center" vertical="center"/>
    </xf>
    <xf numFmtId="164" fontId="0" fillId="0" borderId="5" xfId="0" applyNumberFormat="1" applyFill="1" applyBorder="1" applyAlignment="1">
      <alignment horizontal="center" vertical="center"/>
    </xf>
    <xf numFmtId="164" fontId="0" fillId="0" borderId="2" xfId="0" applyNumberFormat="1" applyFill="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2" xfId="0" applyFont="1" applyBorder="1" applyAlignment="1">
      <alignment horizontal="center" vertical="center"/>
    </xf>
    <xf numFmtId="164" fontId="7" fillId="0" borderId="5" xfId="0" applyNumberFormat="1" applyFont="1" applyBorder="1" applyAlignment="1">
      <alignment horizontal="center" vertical="center"/>
    </xf>
    <xf numFmtId="164" fontId="7" fillId="0" borderId="2" xfId="0" applyNumberFormat="1" applyFont="1" applyBorder="1" applyAlignment="1">
      <alignment horizontal="center" vertical="center"/>
    </xf>
    <xf numFmtId="164" fontId="0" fillId="0" borderId="12" xfId="0" applyNumberFormat="1" applyFill="1" applyBorder="1" applyAlignment="1">
      <alignment horizontal="center" vertical="center"/>
    </xf>
    <xf numFmtId="164" fontId="7" fillId="0" borderId="5"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0" fontId="2" fillId="0" borderId="5" xfId="0" applyFont="1" applyBorder="1" applyAlignment="1">
      <alignment horizontal="center" vertical="center"/>
    </xf>
    <xf numFmtId="0" fontId="0" fillId="3" borderId="12" xfId="0" applyFill="1" applyBorder="1" applyAlignment="1">
      <alignment horizontal="center" vertical="center"/>
    </xf>
    <xf numFmtId="165" fontId="0" fillId="0" borderId="5" xfId="0" applyNumberFormat="1" applyBorder="1" applyAlignment="1">
      <alignment horizontal="center" vertical="center"/>
    </xf>
    <xf numFmtId="0" fontId="0" fillId="0" borderId="12" xfId="0" applyBorder="1" applyAlignment="1">
      <alignment horizontal="center" vertical="center"/>
    </xf>
    <xf numFmtId="165" fontId="0" fillId="0" borderId="5" xfId="0" applyNumberFormat="1" applyFill="1" applyBorder="1" applyAlignment="1">
      <alignment horizontal="center" vertical="center"/>
    </xf>
    <xf numFmtId="164" fontId="0" fillId="0" borderId="2" xfId="0" applyNumberFormat="1" applyBorder="1" applyAlignment="1">
      <alignment horizontal="center" vertical="center"/>
    </xf>
    <xf numFmtId="0" fontId="10" fillId="0" borderId="7" xfId="0" applyFont="1" applyFill="1" applyBorder="1" applyAlignment="1">
      <alignment horizontal="center" vertical="center"/>
    </xf>
    <xf numFmtId="0" fontId="0" fillId="0" borderId="9" xfId="0" applyBorder="1" applyAlignment="1">
      <alignment horizontal="center" vertical="center"/>
    </xf>
    <xf numFmtId="0" fontId="2" fillId="0" borderId="5" xfId="0" applyFont="1" applyFill="1" applyBorder="1" applyAlignment="1">
      <alignment horizontal="center" vertical="center"/>
    </xf>
    <xf numFmtId="164" fontId="0" fillId="16" borderId="5" xfId="0" applyNumberFormat="1" applyFill="1" applyBorder="1" applyAlignment="1">
      <alignment horizontal="center" vertical="center"/>
    </xf>
    <xf numFmtId="0" fontId="0" fillId="16" borderId="12" xfId="0" applyFill="1" applyBorder="1" applyAlignment="1">
      <alignment horizontal="center" vertical="center"/>
    </xf>
    <xf numFmtId="164" fontId="1" fillId="0" borderId="5" xfId="0" applyNumberFormat="1" applyFont="1" applyBorder="1" applyAlignment="1">
      <alignment horizontal="center" vertical="center"/>
    </xf>
    <xf numFmtId="0" fontId="1" fillId="0" borderId="12" xfId="0" applyFont="1" applyBorder="1" applyAlignment="1">
      <alignment horizontal="center" vertical="center"/>
    </xf>
    <xf numFmtId="165" fontId="0" fillId="16" borderId="5" xfId="0" applyNumberFormat="1" applyFill="1" applyBorder="1" applyAlignment="1">
      <alignment horizontal="center" vertical="center"/>
    </xf>
    <xf numFmtId="0" fontId="0" fillId="16" borderId="2" xfId="0" applyFill="1" applyBorder="1" applyAlignment="1">
      <alignment horizontal="center" vertical="center"/>
    </xf>
    <xf numFmtId="165" fontId="0" fillId="3" borderId="5" xfId="0" applyNumberFormat="1" applyFill="1" applyBorder="1" applyAlignment="1">
      <alignment horizontal="center" vertical="center"/>
    </xf>
    <xf numFmtId="0" fontId="0" fillId="3" borderId="2" xfId="0" applyFill="1" applyBorder="1" applyAlignment="1">
      <alignment horizontal="center" vertical="center"/>
    </xf>
    <xf numFmtId="0" fontId="14" fillId="0" borderId="5" xfId="0" applyFont="1" applyBorder="1" applyAlignment="1">
      <alignment horizontal="center" vertical="center"/>
    </xf>
    <xf numFmtId="0" fontId="13" fillId="0" borderId="5" xfId="0" applyFont="1" applyFill="1" applyBorder="1" applyAlignment="1">
      <alignment horizontal="center" vertical="center"/>
    </xf>
    <xf numFmtId="0" fontId="2" fillId="0" borderId="3"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Border="1" applyAlignment="1">
      <alignment horizontal="center" vertical="top" wrapText="1"/>
    </xf>
  </cellXfs>
  <cellStyles count="3">
    <cellStyle name="Excel Built-in Normal" xfId="2"/>
    <cellStyle name="Normale" xfId="0" builtinId="0"/>
    <cellStyle name="Valuta" xfId="1" builtinId="4"/>
  </cellStyles>
  <dxfs count="0"/>
  <tableStyles count="0" defaultTableStyle="TableStyleMedium2" defaultPivotStyle="PivotStyleMedium9"/>
  <colors>
    <mruColors>
      <color rgb="FFFF6699"/>
      <color rgb="FF99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4"/>
  <sheetViews>
    <sheetView tabSelected="1" view="pageBreakPreview" topLeftCell="AM1" zoomScale="85" zoomScaleSheetLayoutView="85" workbookViewId="0">
      <pane ySplit="1" topLeftCell="A14" activePane="bottomLeft" state="frozen"/>
      <selection pane="bottomLeft" activeCell="AU23" sqref="AU23"/>
    </sheetView>
  </sheetViews>
  <sheetFormatPr defaultColWidth="12.28515625" defaultRowHeight="24" customHeight="1" x14ac:dyDescent="0.25"/>
  <cols>
    <col min="1" max="1" width="6.42578125" style="78" customWidth="1"/>
    <col min="2" max="2" width="7.28515625" style="78" customWidth="1"/>
    <col min="3" max="3" width="132.42578125" style="125" customWidth="1"/>
    <col min="4" max="4" width="18" style="78" hidden="1" customWidth="1"/>
    <col min="5" max="5" width="15.7109375" style="78" hidden="1" customWidth="1"/>
    <col min="6" max="6" width="16.7109375" style="110" hidden="1" customWidth="1"/>
    <col min="7" max="7" width="18.85546875" style="78" hidden="1" customWidth="1"/>
    <col min="8" max="8" width="18.85546875" style="111" hidden="1" customWidth="1"/>
    <col min="9" max="9" width="0" style="112" hidden="1" customWidth="1"/>
    <col min="10" max="10" width="16.28515625" style="78" hidden="1" customWidth="1"/>
    <col min="11" max="11" width="0" style="112" hidden="1" customWidth="1"/>
    <col min="12" max="12" width="16.28515625" style="78" hidden="1" customWidth="1"/>
    <col min="13" max="13" width="0" style="112" hidden="1" customWidth="1"/>
    <col min="14" max="14" width="15.7109375" style="78" hidden="1" customWidth="1"/>
    <col min="15" max="15" width="12.28515625" style="112" hidden="1" customWidth="1"/>
    <col min="16" max="16" width="13" style="78" hidden="1" customWidth="1"/>
    <col min="17" max="17" width="0" style="112" hidden="1" customWidth="1"/>
    <col min="18" max="18" width="13.85546875" style="107" hidden="1" customWidth="1"/>
    <col min="19" max="19" width="12.42578125" style="78" hidden="1" customWidth="1"/>
    <col min="20" max="20" width="33.140625" style="182" hidden="1" customWidth="1"/>
    <col min="21" max="21" width="27.140625" style="78" hidden="1" customWidth="1"/>
    <col min="22" max="22" width="27.140625" style="151" hidden="1" customWidth="1"/>
    <col min="23" max="23" width="14.85546875" style="78" hidden="1" customWidth="1"/>
    <col min="24" max="24" width="13.28515625" style="78" hidden="1" customWidth="1"/>
    <col min="25" max="25" width="18.28515625" style="78" hidden="1" customWidth="1"/>
    <col min="26" max="26" width="12.140625" style="78" hidden="1" customWidth="1"/>
    <col min="27" max="27" width="18.140625" style="78" hidden="1" customWidth="1"/>
    <col min="28" max="28" width="13.5703125" style="78" hidden="1" customWidth="1"/>
    <col min="29" max="29" width="17.140625" style="78" hidden="1" customWidth="1"/>
    <col min="30" max="30" width="13.42578125" style="78" hidden="1" customWidth="1"/>
    <col min="31" max="31" width="14.28515625" style="78" hidden="1" customWidth="1"/>
    <col min="32" max="32" width="13.42578125" style="98" hidden="1" customWidth="1"/>
    <col min="33" max="33" width="16.140625" style="98" hidden="1" customWidth="1"/>
    <col min="34" max="34" width="12.42578125" style="78" hidden="1" customWidth="1"/>
    <col min="35" max="35" width="14.28515625" style="78" hidden="1" customWidth="1"/>
    <col min="36" max="36" width="17.7109375" style="78" hidden="1" customWidth="1"/>
    <col min="37" max="37" width="12.140625" style="78" hidden="1" customWidth="1"/>
    <col min="38" max="38" width="17.5703125" style="78" hidden="1" customWidth="1"/>
    <col min="39" max="39" width="16.28515625" style="201" bestFit="1" customWidth="1"/>
    <col min="40" max="40" width="16.28515625" style="98" hidden="1" customWidth="1"/>
    <col min="41" max="41" width="14.7109375" style="78" customWidth="1"/>
    <col min="42" max="42" width="17.140625" style="78" customWidth="1"/>
    <col min="43" max="43" width="15.5703125" style="78" bestFit="1" customWidth="1"/>
    <col min="44" max="44" width="19" style="78" customWidth="1"/>
    <col min="45" max="45" width="15.42578125" style="78" customWidth="1"/>
    <col min="46" max="46" width="16.140625" style="78" customWidth="1"/>
    <col min="47" max="47" width="16.5703125" style="210" customWidth="1"/>
    <col min="48" max="48" width="16.5703125" style="201" customWidth="1"/>
    <col min="49" max="49" width="16.5703125" style="78" customWidth="1"/>
    <col min="50" max="51" width="22" style="201" customWidth="1"/>
    <col min="52" max="52" width="19" style="78" customWidth="1"/>
    <col min="53" max="54" width="15.7109375" style="78" bestFit="1" customWidth="1"/>
    <col min="55" max="16384" width="12.28515625" style="78"/>
  </cols>
  <sheetData>
    <row r="1" spans="1:54" s="72" customFormat="1" ht="61.5" customHeight="1" x14ac:dyDescent="0.25">
      <c r="A1" s="24" t="s">
        <v>11</v>
      </c>
      <c r="B1" s="25" t="s">
        <v>12</v>
      </c>
      <c r="C1" s="136" t="s">
        <v>13</v>
      </c>
      <c r="D1" s="26" t="s">
        <v>87</v>
      </c>
      <c r="E1" s="26" t="s">
        <v>79</v>
      </c>
      <c r="F1" s="46" t="s">
        <v>88</v>
      </c>
      <c r="G1" s="65" t="s">
        <v>78</v>
      </c>
      <c r="H1" s="142" t="s">
        <v>89</v>
      </c>
      <c r="I1" s="66" t="s">
        <v>71</v>
      </c>
      <c r="J1" s="137" t="s">
        <v>91</v>
      </c>
      <c r="K1" s="67" t="s">
        <v>72</v>
      </c>
      <c r="L1" s="138" t="s">
        <v>90</v>
      </c>
      <c r="M1" s="68" t="s">
        <v>73</v>
      </c>
      <c r="N1" s="139" t="s">
        <v>92</v>
      </c>
      <c r="O1" s="69" t="s">
        <v>74</v>
      </c>
      <c r="P1" s="140" t="s">
        <v>93</v>
      </c>
      <c r="Q1" s="70" t="s">
        <v>104</v>
      </c>
      <c r="R1" s="141" t="s">
        <v>94</v>
      </c>
      <c r="S1" s="71" t="s">
        <v>76</v>
      </c>
      <c r="T1" s="183" t="s">
        <v>134</v>
      </c>
      <c r="U1" s="66" t="s">
        <v>80</v>
      </c>
      <c r="V1" s="150" t="s">
        <v>135</v>
      </c>
      <c r="W1" s="135" t="s">
        <v>105</v>
      </c>
      <c r="X1" s="66" t="s">
        <v>81</v>
      </c>
      <c r="Y1" s="135" t="s">
        <v>107</v>
      </c>
      <c r="Z1" s="66" t="s">
        <v>82</v>
      </c>
      <c r="AA1" s="135" t="s">
        <v>106</v>
      </c>
      <c r="AB1" s="66" t="s">
        <v>99</v>
      </c>
      <c r="AC1" s="135" t="s">
        <v>108</v>
      </c>
      <c r="AD1" s="66" t="s">
        <v>83</v>
      </c>
      <c r="AE1" s="135" t="s">
        <v>109</v>
      </c>
      <c r="AF1" s="171" t="s">
        <v>84</v>
      </c>
      <c r="AG1" s="149" t="s">
        <v>133</v>
      </c>
      <c r="AH1" s="66" t="s">
        <v>85</v>
      </c>
      <c r="AI1" s="135" t="s">
        <v>113</v>
      </c>
      <c r="AJ1" s="135" t="s">
        <v>110</v>
      </c>
      <c r="AK1" s="171" t="s">
        <v>86</v>
      </c>
      <c r="AL1" s="135" t="s">
        <v>111</v>
      </c>
      <c r="AM1" s="65" t="s">
        <v>95</v>
      </c>
      <c r="AN1" s="149"/>
      <c r="AO1" s="135" t="s">
        <v>102</v>
      </c>
      <c r="AP1" s="135" t="s">
        <v>96</v>
      </c>
      <c r="AQ1" s="144" t="s">
        <v>100</v>
      </c>
      <c r="AR1" s="145" t="s">
        <v>103</v>
      </c>
      <c r="AS1" s="135" t="s">
        <v>101</v>
      </c>
      <c r="AT1" s="135" t="s">
        <v>98</v>
      </c>
      <c r="AU1" s="208" t="s">
        <v>136</v>
      </c>
      <c r="AV1" s="205" t="s">
        <v>137</v>
      </c>
      <c r="AW1" s="206" t="s">
        <v>139</v>
      </c>
      <c r="AX1" s="207" t="s">
        <v>138</v>
      </c>
      <c r="AY1" s="207" t="s">
        <v>141</v>
      </c>
      <c r="AZ1" s="152" t="s">
        <v>130</v>
      </c>
      <c r="BA1" s="78" t="s">
        <v>114</v>
      </c>
    </row>
    <row r="2" spans="1:54" ht="31.5" customHeight="1" x14ac:dyDescent="0.25">
      <c r="A2" s="218">
        <v>1</v>
      </c>
      <c r="B2" s="9"/>
      <c r="C2" s="113" t="s">
        <v>62</v>
      </c>
      <c r="D2" s="10">
        <v>2600</v>
      </c>
      <c r="E2" s="10">
        <f>D2*5</f>
        <v>13000</v>
      </c>
      <c r="F2" s="47">
        <v>2500</v>
      </c>
      <c r="G2" s="73">
        <v>12500</v>
      </c>
      <c r="H2" s="75">
        <v>2100</v>
      </c>
      <c r="I2" s="4">
        <v>10500</v>
      </c>
      <c r="J2" s="34">
        <v>500</v>
      </c>
      <c r="K2" s="4">
        <v>2500</v>
      </c>
      <c r="L2" s="34">
        <v>2600</v>
      </c>
      <c r="M2" s="4">
        <v>13000</v>
      </c>
      <c r="N2" s="34">
        <v>2500</v>
      </c>
      <c r="O2" s="4">
        <v>12500</v>
      </c>
      <c r="P2" s="34">
        <v>1400</v>
      </c>
      <c r="Q2" s="4">
        <v>7000</v>
      </c>
      <c r="R2" s="55">
        <v>4600</v>
      </c>
      <c r="S2" s="77">
        <v>23000</v>
      </c>
      <c r="T2" s="179">
        <v>69</v>
      </c>
      <c r="U2" s="129">
        <f>T2*E2</f>
        <v>897000</v>
      </c>
      <c r="V2" s="77">
        <f>S2+Q2+O2+M2+K2+I2+G2+E2</f>
        <v>94000</v>
      </c>
      <c r="W2" s="129">
        <v>897000</v>
      </c>
      <c r="X2" s="129">
        <f>T2*G2</f>
        <v>862500</v>
      </c>
      <c r="Y2" s="129">
        <v>862500</v>
      </c>
      <c r="Z2" s="129">
        <f>T2*I2</f>
        <v>724500</v>
      </c>
      <c r="AA2" s="129">
        <v>724500</v>
      </c>
      <c r="AB2" s="129">
        <f>T2*K2</f>
        <v>172500</v>
      </c>
      <c r="AC2" s="129">
        <v>172500</v>
      </c>
      <c r="AD2" s="129">
        <f>T2*M2</f>
        <v>897000</v>
      </c>
      <c r="AE2" s="129">
        <v>897000</v>
      </c>
      <c r="AF2" s="147">
        <f>T2*O2</f>
        <v>862500</v>
      </c>
      <c r="AG2" s="147">
        <v>862500</v>
      </c>
      <c r="AH2" s="129">
        <f>T2*Q2</f>
        <v>483000</v>
      </c>
      <c r="AI2" s="129">
        <v>862500</v>
      </c>
      <c r="AJ2" s="129">
        <v>483000</v>
      </c>
      <c r="AK2" s="129">
        <f>T2*S2</f>
        <v>1587000</v>
      </c>
      <c r="AL2" s="129">
        <v>1587000</v>
      </c>
      <c r="AM2" s="199">
        <f>AL2+AJ2+AI2+AE2+AC2+AA2+Y2+W2</f>
        <v>6486000</v>
      </c>
      <c r="AN2" s="147">
        <f>AM2/5/2</f>
        <v>648600</v>
      </c>
      <c r="AO2" s="127">
        <f>AM2/2</f>
        <v>3243000</v>
      </c>
      <c r="AP2" s="129">
        <f>AM2+AO2</f>
        <v>9729000</v>
      </c>
      <c r="AQ2" s="129">
        <f>AP2*20/100</f>
        <v>1945800</v>
      </c>
      <c r="AR2" s="129">
        <f>AP2*30/100</f>
        <v>2918700</v>
      </c>
      <c r="AS2" s="129">
        <f>(AP2+AQ2)/60*12</f>
        <v>2334960</v>
      </c>
      <c r="AT2" s="129">
        <f>(AP2+AQ2+AS2)/60*6</f>
        <v>1400976</v>
      </c>
      <c r="AU2" s="209">
        <f>AT2+AS2+AR2+AQ2+AP2</f>
        <v>18329436</v>
      </c>
      <c r="AV2" s="202">
        <f>AM2*2/100</f>
        <v>129720</v>
      </c>
      <c r="AW2" s="153">
        <f>AM2/5</f>
        <v>1297200</v>
      </c>
      <c r="AX2" s="202">
        <f>AW2/2</f>
        <v>648600</v>
      </c>
      <c r="AY2" s="202">
        <v>200</v>
      </c>
      <c r="AZ2" s="190" t="s">
        <v>115</v>
      </c>
      <c r="BA2" s="129">
        <f t="shared" ref="BA2:BA32" si="0">AU2-AM2</f>
        <v>11843436</v>
      </c>
      <c r="BB2" s="143">
        <f>(AM2/5)/2</f>
        <v>648600</v>
      </c>
    </row>
    <row r="3" spans="1:54" ht="123" customHeight="1" x14ac:dyDescent="0.25">
      <c r="A3" s="233"/>
      <c r="B3" s="9"/>
      <c r="C3" s="114" t="s">
        <v>14</v>
      </c>
      <c r="D3" s="10"/>
      <c r="E3" s="10"/>
      <c r="F3" s="47"/>
      <c r="G3" s="73"/>
      <c r="H3" s="75"/>
      <c r="I3" s="4"/>
      <c r="J3" s="34"/>
      <c r="K3" s="4"/>
      <c r="L3" s="34"/>
      <c r="M3" s="4"/>
      <c r="N3" s="34"/>
      <c r="O3" s="4"/>
      <c r="P3" s="34"/>
      <c r="Q3" s="4"/>
      <c r="R3" s="55"/>
      <c r="S3" s="77"/>
      <c r="T3" s="179"/>
      <c r="U3" s="129"/>
      <c r="V3" s="77"/>
      <c r="W3" s="129"/>
      <c r="X3" s="129"/>
      <c r="Y3" s="129"/>
      <c r="Z3" s="129"/>
      <c r="AA3" s="129"/>
      <c r="AB3" s="129"/>
      <c r="AC3" s="129"/>
      <c r="AD3" s="129"/>
      <c r="AE3" s="129"/>
      <c r="AF3" s="147"/>
      <c r="AG3" s="147"/>
      <c r="AH3" s="129"/>
      <c r="AI3" s="129"/>
      <c r="AJ3" s="129"/>
      <c r="AK3" s="129"/>
      <c r="AL3" s="129"/>
      <c r="AM3" s="199"/>
      <c r="AN3" s="147">
        <f t="shared" ref="AN3:AN54" si="1">AM3/5/2</f>
        <v>0</v>
      </c>
      <c r="AO3" s="127"/>
      <c r="AP3" s="129"/>
      <c r="AQ3" s="129"/>
      <c r="AR3" s="129"/>
      <c r="AS3" s="129"/>
      <c r="AT3" s="129"/>
      <c r="AU3" s="209"/>
      <c r="AV3" s="202">
        <f t="shared" ref="AV3:AV53" si="2">AM3*2/100</f>
        <v>0</v>
      </c>
      <c r="AW3" s="153">
        <f t="shared" ref="AW3:AW53" si="3">AM3/5</f>
        <v>0</v>
      </c>
      <c r="AX3" s="202">
        <f t="shared" ref="AX3:AX53" si="4">AW3/2</f>
        <v>0</v>
      </c>
      <c r="AY3" s="202"/>
      <c r="AZ3" s="73"/>
      <c r="BA3" s="129"/>
    </row>
    <row r="4" spans="1:54" ht="25.5" customHeight="1" x14ac:dyDescent="0.25">
      <c r="A4" s="27"/>
      <c r="B4" s="9" t="s">
        <v>15</v>
      </c>
      <c r="C4" s="220" t="s">
        <v>59</v>
      </c>
      <c r="D4" s="221"/>
      <c r="E4" s="221"/>
      <c r="F4" s="79"/>
      <c r="G4" s="73"/>
      <c r="H4" s="75"/>
      <c r="I4" s="4"/>
      <c r="J4" s="74"/>
      <c r="K4" s="4"/>
      <c r="L4" s="76"/>
      <c r="M4" s="4"/>
      <c r="N4" s="76"/>
      <c r="O4" s="4"/>
      <c r="P4" s="76"/>
      <c r="Q4" s="4"/>
      <c r="R4" s="80"/>
      <c r="S4" s="77"/>
      <c r="T4" s="132"/>
      <c r="U4" s="129"/>
      <c r="V4" s="77"/>
      <c r="W4" s="129"/>
      <c r="X4" s="129"/>
      <c r="Y4" s="129"/>
      <c r="Z4" s="129"/>
      <c r="AA4" s="129"/>
      <c r="AB4" s="129"/>
      <c r="AC4" s="129"/>
      <c r="AD4" s="129"/>
      <c r="AE4" s="129"/>
      <c r="AF4" s="147"/>
      <c r="AG4" s="147"/>
      <c r="AH4" s="129"/>
      <c r="AI4" s="129"/>
      <c r="AJ4" s="129"/>
      <c r="AK4" s="129"/>
      <c r="AL4" s="129"/>
      <c r="AM4" s="199"/>
      <c r="AN4" s="147"/>
      <c r="AO4" s="127"/>
      <c r="AP4" s="129"/>
      <c r="AQ4" s="129"/>
      <c r="AR4" s="129"/>
      <c r="AS4" s="129"/>
      <c r="AT4" s="129"/>
      <c r="AU4" s="209"/>
      <c r="AV4" s="202">
        <f t="shared" si="2"/>
        <v>0</v>
      </c>
      <c r="AW4" s="153">
        <f t="shared" si="3"/>
        <v>0</v>
      </c>
      <c r="AX4" s="202">
        <f t="shared" si="4"/>
        <v>0</v>
      </c>
      <c r="AY4" s="202"/>
      <c r="AZ4" s="73"/>
      <c r="BA4" s="129"/>
    </row>
    <row r="5" spans="1:54" ht="30.75" customHeight="1" x14ac:dyDescent="0.25">
      <c r="A5" s="234">
        <v>2</v>
      </c>
      <c r="B5" s="9"/>
      <c r="C5" s="113" t="s">
        <v>63</v>
      </c>
      <c r="D5" s="10">
        <v>80</v>
      </c>
      <c r="E5" s="10">
        <f>D5*5</f>
        <v>400</v>
      </c>
      <c r="F5" s="47">
        <v>238</v>
      </c>
      <c r="G5" s="73">
        <v>1190</v>
      </c>
      <c r="H5" s="48">
        <v>50</v>
      </c>
      <c r="I5" s="4">
        <v>250</v>
      </c>
      <c r="J5" s="34" t="s">
        <v>77</v>
      </c>
      <c r="K5" s="4">
        <v>0</v>
      </c>
      <c r="L5" s="34">
        <v>80</v>
      </c>
      <c r="M5" s="4">
        <v>400</v>
      </c>
      <c r="N5" s="34">
        <v>80</v>
      </c>
      <c r="O5" s="4">
        <v>400</v>
      </c>
      <c r="P5" s="35">
        <v>35</v>
      </c>
      <c r="Q5" s="4">
        <v>175</v>
      </c>
      <c r="R5" s="55">
        <v>300</v>
      </c>
      <c r="S5" s="77">
        <v>1500</v>
      </c>
      <c r="T5" s="179">
        <v>65</v>
      </c>
      <c r="U5" s="129">
        <f>T5*E5</f>
        <v>26000</v>
      </c>
      <c r="V5" s="77">
        <f t="shared" ref="V5:V52" si="5">S5+Q5+O5+M5+K5+I5+G5+E5</f>
        <v>4315</v>
      </c>
      <c r="W5" s="129">
        <v>26000</v>
      </c>
      <c r="X5" s="129">
        <f>T5*G5</f>
        <v>77350</v>
      </c>
      <c r="Y5" s="129">
        <v>77350</v>
      </c>
      <c r="Z5" s="129">
        <f>T5*I5</f>
        <v>16250</v>
      </c>
      <c r="AA5" s="129">
        <v>16250</v>
      </c>
      <c r="AB5" s="129">
        <f>T5*K5</f>
        <v>0</v>
      </c>
      <c r="AC5" s="129">
        <v>0</v>
      </c>
      <c r="AD5" s="129">
        <f>T5*M5</f>
        <v>26000</v>
      </c>
      <c r="AE5" s="129">
        <v>26000</v>
      </c>
      <c r="AF5" s="147">
        <f>T5*O5</f>
        <v>26000</v>
      </c>
      <c r="AG5" s="147">
        <v>26000</v>
      </c>
      <c r="AH5" s="129">
        <f>T5*Q5</f>
        <v>11375</v>
      </c>
      <c r="AI5" s="129">
        <v>26000</v>
      </c>
      <c r="AJ5" s="129">
        <v>11375</v>
      </c>
      <c r="AK5" s="129">
        <f>T5*S5</f>
        <v>97500</v>
      </c>
      <c r="AL5" s="129">
        <v>97500</v>
      </c>
      <c r="AM5" s="199">
        <f>AL5+AJ5+AI5+AE5+AC5+AA5+Y5+W5</f>
        <v>280475</v>
      </c>
      <c r="AN5" s="147">
        <f t="shared" si="1"/>
        <v>28047.5</v>
      </c>
      <c r="AO5" s="127">
        <f>AM5/2</f>
        <v>140237.5</v>
      </c>
      <c r="AP5" s="129">
        <f>AM5+AO5</f>
        <v>420712.5</v>
      </c>
      <c r="AQ5" s="129">
        <f t="shared" ref="AQ5:AQ53" si="6">AP5*20/100</f>
        <v>84142.5</v>
      </c>
      <c r="AR5" s="129">
        <f t="shared" ref="AR5:AR53" si="7">AP5*30/100</f>
        <v>126213.75</v>
      </c>
      <c r="AS5" s="129">
        <f t="shared" ref="AS5:AS53" si="8">(AP5+AQ5)/60*12</f>
        <v>100971</v>
      </c>
      <c r="AT5" s="129">
        <f t="shared" ref="AT5:AT53" si="9">(AP5+AQ5+AS5)/60*6</f>
        <v>60582.600000000006</v>
      </c>
      <c r="AU5" s="209">
        <f t="shared" ref="AU5:AU53" si="10">AT5+AS5+AR5+AQ5+AP5</f>
        <v>792622.35</v>
      </c>
      <c r="AV5" s="202">
        <f t="shared" si="2"/>
        <v>5609.5</v>
      </c>
      <c r="AW5" s="153">
        <f t="shared" si="3"/>
        <v>56095</v>
      </c>
      <c r="AX5" s="202">
        <f t="shared" si="4"/>
        <v>28047.5</v>
      </c>
      <c r="AY5" s="202">
        <v>70</v>
      </c>
      <c r="AZ5" s="190" t="s">
        <v>116</v>
      </c>
      <c r="BA5" s="129">
        <f t="shared" si="0"/>
        <v>512147.35</v>
      </c>
    </row>
    <row r="6" spans="1:54" ht="122.25" customHeight="1" x14ac:dyDescent="0.25">
      <c r="A6" s="235"/>
      <c r="B6" s="82"/>
      <c r="C6" s="115" t="s">
        <v>16</v>
      </c>
      <c r="D6" s="10"/>
      <c r="E6" s="10"/>
      <c r="F6" s="47"/>
      <c r="G6" s="73"/>
      <c r="H6" s="75"/>
      <c r="I6" s="4"/>
      <c r="J6" s="34"/>
      <c r="K6" s="4"/>
      <c r="L6" s="34"/>
      <c r="M6" s="4"/>
      <c r="N6" s="34"/>
      <c r="O6" s="4"/>
      <c r="P6" s="34"/>
      <c r="Q6" s="4">
        <v>0</v>
      </c>
      <c r="R6" s="55"/>
      <c r="S6" s="77">
        <v>0</v>
      </c>
      <c r="T6" s="179"/>
      <c r="U6" s="129"/>
      <c r="V6" s="77"/>
      <c r="W6" s="129"/>
      <c r="X6" s="129"/>
      <c r="Y6" s="129"/>
      <c r="Z6" s="129"/>
      <c r="AA6" s="129"/>
      <c r="AB6" s="129"/>
      <c r="AC6" s="129"/>
      <c r="AD6" s="129"/>
      <c r="AE6" s="129"/>
      <c r="AF6" s="147"/>
      <c r="AG6" s="147"/>
      <c r="AH6" s="129"/>
      <c r="AI6" s="129"/>
      <c r="AJ6" s="129"/>
      <c r="AK6" s="129"/>
      <c r="AL6" s="129"/>
      <c r="AM6" s="199"/>
      <c r="AN6" s="147"/>
      <c r="AO6" s="127"/>
      <c r="AP6" s="129"/>
      <c r="AQ6" s="129"/>
      <c r="AR6" s="129"/>
      <c r="AS6" s="129"/>
      <c r="AT6" s="129"/>
      <c r="AU6" s="209"/>
      <c r="AV6" s="202">
        <f t="shared" si="2"/>
        <v>0</v>
      </c>
      <c r="AW6" s="153">
        <f t="shared" si="3"/>
        <v>0</v>
      </c>
      <c r="AX6" s="202">
        <f t="shared" si="4"/>
        <v>0</v>
      </c>
      <c r="AY6" s="202"/>
      <c r="AZ6" s="73"/>
      <c r="BA6" s="129"/>
    </row>
    <row r="7" spans="1:54" ht="22.5" customHeight="1" x14ac:dyDescent="0.25">
      <c r="A7" s="236"/>
      <c r="B7" s="9" t="s">
        <v>15</v>
      </c>
      <c r="C7" s="220" t="s">
        <v>59</v>
      </c>
      <c r="D7" s="221"/>
      <c r="E7" s="221"/>
      <c r="F7" s="79"/>
      <c r="G7" s="73"/>
      <c r="H7" s="75"/>
      <c r="I7" s="4"/>
      <c r="J7" s="74"/>
      <c r="K7" s="4"/>
      <c r="L7" s="76"/>
      <c r="M7" s="4"/>
      <c r="N7" s="76"/>
      <c r="O7" s="4"/>
      <c r="P7" s="76"/>
      <c r="Q7" s="4">
        <v>0</v>
      </c>
      <c r="R7" s="80"/>
      <c r="S7" s="77"/>
      <c r="T7" s="132"/>
      <c r="U7" s="129"/>
      <c r="V7" s="77"/>
      <c r="W7" s="129"/>
      <c r="X7" s="129"/>
      <c r="Y7" s="129"/>
      <c r="Z7" s="129"/>
      <c r="AA7" s="129"/>
      <c r="AB7" s="129"/>
      <c r="AC7" s="129"/>
      <c r="AD7" s="129"/>
      <c r="AE7" s="129"/>
      <c r="AF7" s="147"/>
      <c r="AG7" s="147"/>
      <c r="AH7" s="129"/>
      <c r="AI7" s="129"/>
      <c r="AJ7" s="129"/>
      <c r="AK7" s="129"/>
      <c r="AL7" s="129"/>
      <c r="AM7" s="199"/>
      <c r="AN7" s="147"/>
      <c r="AO7" s="127"/>
      <c r="AP7" s="129"/>
      <c r="AQ7" s="129"/>
      <c r="AR7" s="129"/>
      <c r="AS7" s="129"/>
      <c r="AT7" s="129"/>
      <c r="AU7" s="209"/>
      <c r="AV7" s="202">
        <f t="shared" si="2"/>
        <v>0</v>
      </c>
      <c r="AW7" s="153">
        <f t="shared" si="3"/>
        <v>0</v>
      </c>
      <c r="AX7" s="202">
        <f t="shared" si="4"/>
        <v>0</v>
      </c>
      <c r="AY7" s="202"/>
      <c r="AZ7" s="73"/>
      <c r="BA7" s="129"/>
    </row>
    <row r="8" spans="1:54" ht="24" customHeight="1" x14ac:dyDescent="0.25">
      <c r="A8" s="234">
        <v>3</v>
      </c>
      <c r="B8" s="83"/>
      <c r="C8" s="113" t="s">
        <v>64</v>
      </c>
      <c r="D8" s="11">
        <v>50</v>
      </c>
      <c r="E8" s="11">
        <f>D8*5</f>
        <v>250</v>
      </c>
      <c r="F8" s="48"/>
      <c r="G8" s="73">
        <v>0</v>
      </c>
      <c r="H8" s="75">
        <v>20</v>
      </c>
      <c r="I8" s="4">
        <v>100</v>
      </c>
      <c r="J8" s="34" t="s">
        <v>77</v>
      </c>
      <c r="K8" s="4">
        <v>0</v>
      </c>
      <c r="L8" s="35">
        <v>30</v>
      </c>
      <c r="M8" s="4">
        <v>150</v>
      </c>
      <c r="N8" s="35">
        <v>150</v>
      </c>
      <c r="O8" s="4">
        <v>750</v>
      </c>
      <c r="P8" s="35">
        <v>10</v>
      </c>
      <c r="Q8" s="4">
        <v>50</v>
      </c>
      <c r="R8" s="55">
        <v>30</v>
      </c>
      <c r="S8" s="77">
        <v>150</v>
      </c>
      <c r="T8" s="179">
        <v>260</v>
      </c>
      <c r="U8" s="129">
        <f>T8*E8</f>
        <v>65000</v>
      </c>
      <c r="V8" s="77">
        <f t="shared" si="5"/>
        <v>1450</v>
      </c>
      <c r="W8" s="129">
        <v>65000</v>
      </c>
      <c r="X8" s="129">
        <f>T8*G8</f>
        <v>0</v>
      </c>
      <c r="Y8" s="129">
        <v>0</v>
      </c>
      <c r="Z8" s="129">
        <f>T8*I8</f>
        <v>26000</v>
      </c>
      <c r="AA8" s="129">
        <v>26000</v>
      </c>
      <c r="AB8" s="129">
        <f>T8*K8</f>
        <v>0</v>
      </c>
      <c r="AC8" s="129">
        <v>0</v>
      </c>
      <c r="AD8" s="129">
        <f>T8*M8</f>
        <v>39000</v>
      </c>
      <c r="AE8" s="129">
        <v>39000</v>
      </c>
      <c r="AF8" s="147">
        <f>T8*O8</f>
        <v>195000</v>
      </c>
      <c r="AG8" s="147">
        <v>195000</v>
      </c>
      <c r="AH8" s="129">
        <f>T8*Q8</f>
        <v>13000</v>
      </c>
      <c r="AI8" s="129">
        <v>195000</v>
      </c>
      <c r="AJ8" s="129">
        <v>13000</v>
      </c>
      <c r="AK8" s="129">
        <f>T8*S8</f>
        <v>39000</v>
      </c>
      <c r="AL8" s="129">
        <v>39000</v>
      </c>
      <c r="AM8" s="199">
        <f>AL8+AJ8+AI8+AE8+AC8+AA8+Y8+W8</f>
        <v>377000</v>
      </c>
      <c r="AN8" s="147">
        <f t="shared" si="1"/>
        <v>37700</v>
      </c>
      <c r="AO8" s="127">
        <f>AM8/2</f>
        <v>188500</v>
      </c>
      <c r="AP8" s="129">
        <f>AM8+AO8</f>
        <v>565500</v>
      </c>
      <c r="AQ8" s="129">
        <f t="shared" si="6"/>
        <v>113100</v>
      </c>
      <c r="AR8" s="129">
        <f t="shared" si="7"/>
        <v>169650</v>
      </c>
      <c r="AS8" s="129">
        <f t="shared" si="8"/>
        <v>135720</v>
      </c>
      <c r="AT8" s="129">
        <f t="shared" si="9"/>
        <v>81432</v>
      </c>
      <c r="AU8" s="209">
        <f t="shared" si="10"/>
        <v>1065402</v>
      </c>
      <c r="AV8" s="202">
        <f t="shared" si="2"/>
        <v>7540</v>
      </c>
      <c r="AW8" s="153">
        <f t="shared" si="3"/>
        <v>75400</v>
      </c>
      <c r="AX8" s="202">
        <f t="shared" si="4"/>
        <v>37700</v>
      </c>
      <c r="AY8" s="202">
        <v>140</v>
      </c>
      <c r="AZ8" s="190">
        <v>9517009446</v>
      </c>
      <c r="BA8" s="129">
        <f t="shared" si="0"/>
        <v>688402</v>
      </c>
    </row>
    <row r="9" spans="1:54" ht="135.75" customHeight="1" x14ac:dyDescent="0.25">
      <c r="A9" s="235"/>
      <c r="B9" s="82"/>
      <c r="C9" s="115" t="s">
        <v>17</v>
      </c>
      <c r="D9" s="10"/>
      <c r="E9" s="10"/>
      <c r="F9" s="47"/>
      <c r="G9" s="73"/>
      <c r="H9" s="75"/>
      <c r="I9" s="4"/>
      <c r="K9" s="4"/>
      <c r="L9" s="34"/>
      <c r="M9" s="4"/>
      <c r="N9" s="34"/>
      <c r="O9" s="4"/>
      <c r="P9" s="34"/>
      <c r="Q9" s="4">
        <v>0</v>
      </c>
      <c r="R9" s="55"/>
      <c r="S9" s="77">
        <v>0</v>
      </c>
      <c r="T9" s="179"/>
      <c r="U9" s="129"/>
      <c r="V9" s="77"/>
      <c r="W9" s="129"/>
      <c r="X9" s="129"/>
      <c r="Y9" s="129"/>
      <c r="Z9" s="129"/>
      <c r="AA9" s="129"/>
      <c r="AB9" s="129"/>
      <c r="AC9" s="129"/>
      <c r="AD9" s="129"/>
      <c r="AE9" s="129"/>
      <c r="AF9" s="147"/>
      <c r="AG9" s="147"/>
      <c r="AH9" s="129"/>
      <c r="AI9" s="129"/>
      <c r="AJ9" s="129"/>
      <c r="AK9" s="129"/>
      <c r="AL9" s="129"/>
      <c r="AM9" s="199"/>
      <c r="AN9" s="147"/>
      <c r="AO9" s="127"/>
      <c r="AP9" s="129"/>
      <c r="AQ9" s="129"/>
      <c r="AR9" s="129"/>
      <c r="AS9" s="129"/>
      <c r="AT9" s="129"/>
      <c r="AU9" s="209"/>
      <c r="AV9" s="202">
        <f t="shared" si="2"/>
        <v>0</v>
      </c>
      <c r="AW9" s="153">
        <f t="shared" si="3"/>
        <v>0</v>
      </c>
      <c r="AX9" s="202">
        <f t="shared" si="4"/>
        <v>0</v>
      </c>
      <c r="AY9" s="202"/>
      <c r="AZ9" s="73"/>
      <c r="BA9" s="129"/>
    </row>
    <row r="10" spans="1:54" ht="37.5" customHeight="1" x14ac:dyDescent="0.25">
      <c r="A10" s="236"/>
      <c r="B10" s="9" t="s">
        <v>15</v>
      </c>
      <c r="C10" s="220" t="s">
        <v>59</v>
      </c>
      <c r="D10" s="221"/>
      <c r="E10" s="221"/>
      <c r="F10" s="79"/>
      <c r="G10" s="73"/>
      <c r="H10" s="75"/>
      <c r="I10" s="4"/>
      <c r="J10" s="74"/>
      <c r="K10" s="4"/>
      <c r="L10" s="76"/>
      <c r="M10" s="4"/>
      <c r="N10" s="76"/>
      <c r="O10" s="4"/>
      <c r="P10" s="76"/>
      <c r="Q10" s="4"/>
      <c r="R10" s="80"/>
      <c r="S10" s="77"/>
      <c r="T10" s="132"/>
      <c r="U10" s="129"/>
      <c r="V10" s="77"/>
      <c r="W10" s="129"/>
      <c r="X10" s="129"/>
      <c r="Y10" s="129"/>
      <c r="Z10" s="129"/>
      <c r="AA10" s="129"/>
      <c r="AB10" s="129"/>
      <c r="AC10" s="129"/>
      <c r="AD10" s="129"/>
      <c r="AE10" s="129"/>
      <c r="AF10" s="147"/>
      <c r="AG10" s="147"/>
      <c r="AH10" s="129"/>
      <c r="AI10" s="129"/>
      <c r="AJ10" s="129"/>
      <c r="AK10" s="129"/>
      <c r="AL10" s="129"/>
      <c r="AM10" s="199"/>
      <c r="AN10" s="147"/>
      <c r="AO10" s="127"/>
      <c r="AP10" s="129"/>
      <c r="AQ10" s="129"/>
      <c r="AR10" s="129"/>
      <c r="AS10" s="129"/>
      <c r="AT10" s="129"/>
      <c r="AU10" s="209"/>
      <c r="AV10" s="202">
        <f t="shared" si="2"/>
        <v>0</v>
      </c>
      <c r="AW10" s="153">
        <f t="shared" si="3"/>
        <v>0</v>
      </c>
      <c r="AX10" s="202">
        <f t="shared" si="4"/>
        <v>0</v>
      </c>
      <c r="AY10" s="202"/>
      <c r="AZ10" s="73"/>
      <c r="BA10" s="129"/>
    </row>
    <row r="11" spans="1:54" ht="28.5" customHeight="1" x14ac:dyDescent="0.25">
      <c r="A11" s="234">
        <v>4</v>
      </c>
      <c r="B11" s="9"/>
      <c r="C11" s="113" t="s">
        <v>65</v>
      </c>
      <c r="D11" s="11">
        <v>20</v>
      </c>
      <c r="E11" s="11">
        <f>D11*5</f>
        <v>100</v>
      </c>
      <c r="F11" s="48"/>
      <c r="G11" s="73">
        <v>0</v>
      </c>
      <c r="H11" s="75">
        <v>10</v>
      </c>
      <c r="I11" s="4">
        <v>50</v>
      </c>
      <c r="J11" s="34" t="s">
        <v>77</v>
      </c>
      <c r="K11" s="4">
        <v>0</v>
      </c>
      <c r="L11" s="35">
        <v>0</v>
      </c>
      <c r="M11" s="4">
        <v>0</v>
      </c>
      <c r="N11" s="35">
        <v>20</v>
      </c>
      <c r="O11" s="4">
        <v>100</v>
      </c>
      <c r="P11" s="35">
        <v>10</v>
      </c>
      <c r="Q11" s="4">
        <v>50</v>
      </c>
      <c r="R11" s="55">
        <v>0</v>
      </c>
      <c r="S11" s="77">
        <v>0</v>
      </c>
      <c r="T11" s="179">
        <v>475</v>
      </c>
      <c r="U11" s="129">
        <f>T11*E11</f>
        <v>47500</v>
      </c>
      <c r="V11" s="77">
        <f>Q11+O11+I11+E11</f>
        <v>300</v>
      </c>
      <c r="W11" s="129">
        <v>47500</v>
      </c>
      <c r="X11" s="129">
        <f>T11*G11</f>
        <v>0</v>
      </c>
      <c r="Y11" s="129">
        <v>0</v>
      </c>
      <c r="Z11" s="129">
        <f>T11*I11</f>
        <v>23750</v>
      </c>
      <c r="AA11" s="129">
        <v>23750</v>
      </c>
      <c r="AB11" s="129">
        <f>T11*K11</f>
        <v>0</v>
      </c>
      <c r="AC11" s="129">
        <v>0</v>
      </c>
      <c r="AD11" s="129">
        <f>T11*M11</f>
        <v>0</v>
      </c>
      <c r="AE11" s="129">
        <v>0</v>
      </c>
      <c r="AF11" s="147">
        <f>T11*O11</f>
        <v>47500</v>
      </c>
      <c r="AG11" s="147">
        <v>47500</v>
      </c>
      <c r="AH11" s="129">
        <f>T11*Q11</f>
        <v>23750</v>
      </c>
      <c r="AI11" s="129">
        <v>47500</v>
      </c>
      <c r="AJ11" s="129">
        <v>23750</v>
      </c>
      <c r="AK11" s="129">
        <f>T11*S11</f>
        <v>0</v>
      </c>
      <c r="AL11" s="129">
        <v>0</v>
      </c>
      <c r="AM11" s="199">
        <f>AL11+AJ11+AI11+AE11+AC11+AA11+Y11+W11</f>
        <v>142500</v>
      </c>
      <c r="AN11" s="147">
        <f t="shared" si="1"/>
        <v>14250</v>
      </c>
      <c r="AO11" s="127">
        <f>AM11/2</f>
        <v>71250</v>
      </c>
      <c r="AP11" s="129">
        <f>AM11+AO11</f>
        <v>213750</v>
      </c>
      <c r="AQ11" s="129">
        <f t="shared" si="6"/>
        <v>42750</v>
      </c>
      <c r="AR11" s="129">
        <f t="shared" si="7"/>
        <v>64125</v>
      </c>
      <c r="AS11" s="129">
        <f t="shared" si="8"/>
        <v>51300</v>
      </c>
      <c r="AT11" s="129">
        <f t="shared" si="9"/>
        <v>30780</v>
      </c>
      <c r="AU11" s="209">
        <f t="shared" si="10"/>
        <v>402705</v>
      </c>
      <c r="AV11" s="202">
        <f t="shared" si="2"/>
        <v>2850</v>
      </c>
      <c r="AW11" s="153">
        <f t="shared" si="3"/>
        <v>28500</v>
      </c>
      <c r="AX11" s="202">
        <f t="shared" si="4"/>
        <v>14250</v>
      </c>
      <c r="AY11" s="202">
        <v>35</v>
      </c>
      <c r="AZ11" s="190" t="s">
        <v>117</v>
      </c>
      <c r="BA11" s="129">
        <f t="shared" si="0"/>
        <v>260205</v>
      </c>
    </row>
    <row r="12" spans="1:54" ht="137.25" customHeight="1" x14ac:dyDescent="0.25">
      <c r="A12" s="235"/>
      <c r="B12" s="82"/>
      <c r="C12" s="115" t="s">
        <v>18</v>
      </c>
      <c r="D12" s="10"/>
      <c r="E12" s="10"/>
      <c r="F12" s="47"/>
      <c r="G12" s="73"/>
      <c r="H12" s="75"/>
      <c r="I12" s="4"/>
      <c r="K12" s="4"/>
      <c r="L12" s="34"/>
      <c r="M12" s="4"/>
      <c r="N12" s="34"/>
      <c r="O12" s="4"/>
      <c r="P12" s="34"/>
      <c r="Q12" s="4"/>
      <c r="R12" s="55"/>
      <c r="S12" s="77"/>
      <c r="T12" s="179"/>
      <c r="U12" s="129"/>
      <c r="V12" s="77"/>
      <c r="W12" s="129"/>
      <c r="X12" s="129"/>
      <c r="Y12" s="129"/>
      <c r="Z12" s="129"/>
      <c r="AA12" s="129"/>
      <c r="AB12" s="129"/>
      <c r="AC12" s="129"/>
      <c r="AD12" s="129"/>
      <c r="AE12" s="129"/>
      <c r="AF12" s="147"/>
      <c r="AG12" s="147"/>
      <c r="AH12" s="129"/>
      <c r="AI12" s="129"/>
      <c r="AJ12" s="129"/>
      <c r="AK12" s="129"/>
      <c r="AL12" s="129"/>
      <c r="AM12" s="199"/>
      <c r="AN12" s="147"/>
      <c r="AO12" s="127"/>
      <c r="AP12" s="129"/>
      <c r="AQ12" s="129"/>
      <c r="AR12" s="129"/>
      <c r="AS12" s="129"/>
      <c r="AT12" s="129"/>
      <c r="AU12" s="209"/>
      <c r="AV12" s="202">
        <f t="shared" si="2"/>
        <v>0</v>
      </c>
      <c r="AW12" s="153">
        <f t="shared" si="3"/>
        <v>0</v>
      </c>
      <c r="AX12" s="202">
        <f t="shared" si="4"/>
        <v>0</v>
      </c>
      <c r="AY12" s="202"/>
      <c r="AZ12" s="73"/>
      <c r="BA12" s="129"/>
    </row>
    <row r="13" spans="1:54" ht="24.75" customHeight="1" x14ac:dyDescent="0.25">
      <c r="A13" s="236"/>
      <c r="B13" s="9" t="s">
        <v>15</v>
      </c>
      <c r="C13" s="220" t="s">
        <v>59</v>
      </c>
      <c r="D13" s="221"/>
      <c r="E13" s="221"/>
      <c r="F13" s="79"/>
      <c r="G13" s="73"/>
      <c r="H13" s="75"/>
      <c r="I13" s="4"/>
      <c r="J13" s="74"/>
      <c r="K13" s="4"/>
      <c r="L13" s="76"/>
      <c r="M13" s="4"/>
      <c r="N13" s="76"/>
      <c r="O13" s="4"/>
      <c r="P13" s="76"/>
      <c r="Q13" s="4"/>
      <c r="R13" s="80"/>
      <c r="S13" s="77"/>
      <c r="T13" s="132"/>
      <c r="U13" s="129"/>
      <c r="V13" s="77"/>
      <c r="W13" s="129"/>
      <c r="X13" s="129"/>
      <c r="Y13" s="129"/>
      <c r="Z13" s="129"/>
      <c r="AA13" s="129"/>
      <c r="AB13" s="129"/>
      <c r="AC13" s="129"/>
      <c r="AD13" s="129"/>
      <c r="AE13" s="129"/>
      <c r="AF13" s="147"/>
      <c r="AG13" s="147"/>
      <c r="AH13" s="129"/>
      <c r="AI13" s="129"/>
      <c r="AJ13" s="129"/>
      <c r="AK13" s="129"/>
      <c r="AL13" s="129"/>
      <c r="AM13" s="199"/>
      <c r="AN13" s="147"/>
      <c r="AO13" s="127"/>
      <c r="AP13" s="129"/>
      <c r="AQ13" s="129"/>
      <c r="AR13" s="129"/>
      <c r="AS13" s="129"/>
      <c r="AT13" s="129"/>
      <c r="AU13" s="209"/>
      <c r="AV13" s="202">
        <f t="shared" si="2"/>
        <v>0</v>
      </c>
      <c r="AW13" s="153">
        <f t="shared" si="3"/>
        <v>0</v>
      </c>
      <c r="AX13" s="202">
        <f t="shared" si="4"/>
        <v>0</v>
      </c>
      <c r="AY13" s="202"/>
      <c r="AZ13" s="73"/>
      <c r="BA13" s="129"/>
    </row>
    <row r="14" spans="1:54" ht="28.5" customHeight="1" x14ac:dyDescent="0.25">
      <c r="A14" s="234">
        <v>5</v>
      </c>
      <c r="B14" s="9"/>
      <c r="C14" s="113" t="s">
        <v>19</v>
      </c>
      <c r="D14" s="12">
        <v>10</v>
      </c>
      <c r="E14" s="12">
        <f>D14*5</f>
        <v>50</v>
      </c>
      <c r="F14" s="49"/>
      <c r="G14" s="73">
        <v>0</v>
      </c>
      <c r="H14" s="75"/>
      <c r="I14" s="4">
        <v>0</v>
      </c>
      <c r="J14" s="34" t="s">
        <v>77</v>
      </c>
      <c r="K14" s="4">
        <v>0</v>
      </c>
      <c r="L14" s="36">
        <v>0</v>
      </c>
      <c r="M14" s="4">
        <v>0</v>
      </c>
      <c r="N14" s="36">
        <v>10</v>
      </c>
      <c r="O14" s="4">
        <v>50</v>
      </c>
      <c r="P14" s="36">
        <v>5</v>
      </c>
      <c r="Q14" s="4">
        <v>25</v>
      </c>
      <c r="R14" s="56">
        <v>0</v>
      </c>
      <c r="S14" s="77">
        <v>0</v>
      </c>
      <c r="T14" s="179">
        <v>615</v>
      </c>
      <c r="U14" s="129">
        <f>T14*E14</f>
        <v>30750</v>
      </c>
      <c r="V14" s="77">
        <f t="shared" si="5"/>
        <v>125</v>
      </c>
      <c r="W14" s="129">
        <v>30750</v>
      </c>
      <c r="X14" s="129">
        <f>T14*G14</f>
        <v>0</v>
      </c>
      <c r="Y14" s="129">
        <v>0</v>
      </c>
      <c r="Z14" s="129">
        <f>T14*I14</f>
        <v>0</v>
      </c>
      <c r="AA14" s="129">
        <v>0</v>
      </c>
      <c r="AB14" s="129">
        <f>T14*K14</f>
        <v>0</v>
      </c>
      <c r="AC14" s="129">
        <v>0</v>
      </c>
      <c r="AD14" s="129">
        <f>T14*M14</f>
        <v>0</v>
      </c>
      <c r="AE14" s="129">
        <v>0</v>
      </c>
      <c r="AF14" s="147">
        <f>T14*O14</f>
        <v>30750</v>
      </c>
      <c r="AG14" s="147">
        <v>30750</v>
      </c>
      <c r="AH14" s="129">
        <f>T14*Q14</f>
        <v>15375</v>
      </c>
      <c r="AI14" s="129">
        <v>30750</v>
      </c>
      <c r="AJ14" s="129">
        <v>15375</v>
      </c>
      <c r="AK14" s="129">
        <f>T14*S14</f>
        <v>0</v>
      </c>
      <c r="AL14" s="129">
        <v>0</v>
      </c>
      <c r="AM14" s="199">
        <f>AL14+AJ14+AI14+AE14+AC14+AA14+Y14+W14</f>
        <v>76875</v>
      </c>
      <c r="AN14" s="147">
        <f t="shared" si="1"/>
        <v>7687.5</v>
      </c>
      <c r="AO14" s="127">
        <f>AM14/2</f>
        <v>38437.5</v>
      </c>
      <c r="AP14" s="129">
        <f>AM14+AO14</f>
        <v>115312.5</v>
      </c>
      <c r="AQ14" s="129">
        <f t="shared" si="6"/>
        <v>23062.5</v>
      </c>
      <c r="AR14" s="129">
        <f t="shared" si="7"/>
        <v>34593.75</v>
      </c>
      <c r="AS14" s="129">
        <f t="shared" si="8"/>
        <v>27675</v>
      </c>
      <c r="AT14" s="129">
        <f t="shared" si="9"/>
        <v>16605</v>
      </c>
      <c r="AU14" s="209">
        <f t="shared" si="10"/>
        <v>217248.75</v>
      </c>
      <c r="AV14" s="202">
        <f t="shared" si="2"/>
        <v>1537.5</v>
      </c>
      <c r="AW14" s="153">
        <f t="shared" si="3"/>
        <v>15375</v>
      </c>
      <c r="AX14" s="202">
        <f t="shared" si="4"/>
        <v>7687.5</v>
      </c>
      <c r="AY14" s="202">
        <v>20</v>
      </c>
      <c r="AZ14" s="190">
        <v>9517083158</v>
      </c>
      <c r="BA14" s="129">
        <f t="shared" si="0"/>
        <v>140373.75</v>
      </c>
    </row>
    <row r="15" spans="1:54" ht="153" customHeight="1" x14ac:dyDescent="0.25">
      <c r="A15" s="235"/>
      <c r="B15" s="82"/>
      <c r="C15" s="115" t="s">
        <v>20</v>
      </c>
      <c r="D15" s="10"/>
      <c r="E15" s="10"/>
      <c r="F15" s="47"/>
      <c r="G15" s="73"/>
      <c r="H15" s="75"/>
      <c r="I15" s="4"/>
      <c r="K15" s="4"/>
      <c r="L15" s="34"/>
      <c r="M15" s="4"/>
      <c r="N15" s="34"/>
      <c r="O15" s="4"/>
      <c r="P15" s="34"/>
      <c r="Q15" s="4"/>
      <c r="R15" s="55"/>
      <c r="S15" s="77"/>
      <c r="T15" s="179"/>
      <c r="U15" s="129"/>
      <c r="V15" s="77"/>
      <c r="W15" s="129"/>
      <c r="X15" s="129"/>
      <c r="Y15" s="129"/>
      <c r="Z15" s="129"/>
      <c r="AA15" s="129"/>
      <c r="AB15" s="129"/>
      <c r="AC15" s="129"/>
      <c r="AD15" s="129"/>
      <c r="AE15" s="129"/>
      <c r="AF15" s="147"/>
      <c r="AG15" s="147"/>
      <c r="AH15" s="129"/>
      <c r="AI15" s="129"/>
      <c r="AJ15" s="129"/>
      <c r="AK15" s="129"/>
      <c r="AL15" s="129"/>
      <c r="AM15" s="199"/>
      <c r="AN15" s="147"/>
      <c r="AO15" s="127"/>
      <c r="AP15" s="129"/>
      <c r="AQ15" s="129"/>
      <c r="AR15" s="129"/>
      <c r="AS15" s="129"/>
      <c r="AT15" s="129"/>
      <c r="AU15" s="209"/>
      <c r="AV15" s="202">
        <f t="shared" si="2"/>
        <v>0</v>
      </c>
      <c r="AW15" s="153">
        <f t="shared" si="3"/>
        <v>0</v>
      </c>
      <c r="AX15" s="202">
        <f t="shared" si="4"/>
        <v>0</v>
      </c>
      <c r="AY15" s="202"/>
      <c r="AZ15" s="73"/>
      <c r="BA15" s="129"/>
    </row>
    <row r="16" spans="1:54" ht="21" customHeight="1" x14ac:dyDescent="0.25">
      <c r="A16" s="236"/>
      <c r="B16" s="9" t="s">
        <v>15</v>
      </c>
      <c r="C16" s="220" t="s">
        <v>59</v>
      </c>
      <c r="D16" s="221"/>
      <c r="E16" s="221"/>
      <c r="F16" s="79"/>
      <c r="G16" s="73"/>
      <c r="H16" s="75"/>
      <c r="I16" s="4"/>
      <c r="J16" s="74"/>
      <c r="K16" s="4"/>
      <c r="L16" s="76"/>
      <c r="M16" s="4"/>
      <c r="N16" s="76"/>
      <c r="O16" s="4"/>
      <c r="P16" s="76"/>
      <c r="Q16" s="4"/>
      <c r="R16" s="80"/>
      <c r="S16" s="77"/>
      <c r="T16" s="179"/>
      <c r="U16" s="129"/>
      <c r="V16" s="77"/>
      <c r="W16" s="129"/>
      <c r="X16" s="129"/>
      <c r="Y16" s="129"/>
      <c r="Z16" s="129"/>
      <c r="AA16" s="129"/>
      <c r="AB16" s="129"/>
      <c r="AC16" s="129"/>
      <c r="AD16" s="129"/>
      <c r="AE16" s="129"/>
      <c r="AF16" s="147"/>
      <c r="AG16" s="147"/>
      <c r="AH16" s="129"/>
      <c r="AI16" s="129"/>
      <c r="AJ16" s="129"/>
      <c r="AK16" s="129"/>
      <c r="AL16" s="129"/>
      <c r="AM16" s="199"/>
      <c r="AN16" s="147"/>
      <c r="AO16" s="127"/>
      <c r="AP16" s="129"/>
      <c r="AQ16" s="129"/>
      <c r="AR16" s="129"/>
      <c r="AS16" s="129"/>
      <c r="AT16" s="129"/>
      <c r="AU16" s="209"/>
      <c r="AV16" s="202">
        <f t="shared" si="2"/>
        <v>0</v>
      </c>
      <c r="AW16" s="153">
        <f t="shared" si="3"/>
        <v>0</v>
      </c>
      <c r="AX16" s="202">
        <f t="shared" si="4"/>
        <v>0</v>
      </c>
      <c r="AY16" s="202"/>
      <c r="AZ16" s="73"/>
      <c r="BA16" s="129"/>
    </row>
    <row r="17" spans="1:53" ht="44.25" customHeight="1" x14ac:dyDescent="0.25">
      <c r="A17" s="237">
        <v>6</v>
      </c>
      <c r="B17" s="9"/>
      <c r="C17" s="113" t="s">
        <v>21</v>
      </c>
      <c r="D17" s="10">
        <v>30</v>
      </c>
      <c r="E17" s="10">
        <f>D17*5</f>
        <v>150</v>
      </c>
      <c r="F17" s="48">
        <v>5</v>
      </c>
      <c r="G17" s="73">
        <v>25</v>
      </c>
      <c r="H17" s="48"/>
      <c r="I17" s="4">
        <v>0</v>
      </c>
      <c r="J17" s="34">
        <v>7</v>
      </c>
      <c r="K17" s="4">
        <v>35</v>
      </c>
      <c r="L17" s="34">
        <v>30</v>
      </c>
      <c r="M17" s="4">
        <v>150</v>
      </c>
      <c r="N17" s="34">
        <v>40</v>
      </c>
      <c r="O17" s="4">
        <v>200</v>
      </c>
      <c r="P17" s="34">
        <v>15</v>
      </c>
      <c r="Q17" s="4">
        <v>75</v>
      </c>
      <c r="R17" s="55">
        <v>20</v>
      </c>
      <c r="S17" s="77">
        <v>100</v>
      </c>
      <c r="T17" s="179">
        <v>190</v>
      </c>
      <c r="U17" s="129">
        <f>T17*E17</f>
        <v>28500</v>
      </c>
      <c r="V17" s="77">
        <f t="shared" si="5"/>
        <v>735</v>
      </c>
      <c r="W17" s="129">
        <v>28500</v>
      </c>
      <c r="X17" s="129">
        <f>T17*G17</f>
        <v>4750</v>
      </c>
      <c r="Y17" s="129">
        <v>4750</v>
      </c>
      <c r="Z17" s="129">
        <f>T17*I17</f>
        <v>0</v>
      </c>
      <c r="AA17" s="129">
        <v>0</v>
      </c>
      <c r="AB17" s="129">
        <f>T17*K17</f>
        <v>6650</v>
      </c>
      <c r="AC17" s="129">
        <v>6650</v>
      </c>
      <c r="AD17" s="129">
        <f>T17*M17</f>
        <v>28500</v>
      </c>
      <c r="AE17" s="129">
        <v>28500</v>
      </c>
      <c r="AF17" s="147">
        <f>T17*O17</f>
        <v>38000</v>
      </c>
      <c r="AG17" s="147">
        <v>38000</v>
      </c>
      <c r="AH17" s="129">
        <f>T17*Q17</f>
        <v>14250</v>
      </c>
      <c r="AI17" s="129">
        <v>38000</v>
      </c>
      <c r="AJ17" s="129">
        <v>14250</v>
      </c>
      <c r="AK17" s="129">
        <f>T17*S17</f>
        <v>19000</v>
      </c>
      <c r="AL17" s="129">
        <v>19000</v>
      </c>
      <c r="AM17" s="199">
        <f>AL17+AJ17+AI17+AE17+AC17+AA17+Y17+W17</f>
        <v>139650</v>
      </c>
      <c r="AN17" s="147">
        <f t="shared" si="1"/>
        <v>13965</v>
      </c>
      <c r="AO17" s="127">
        <f>AM17/2</f>
        <v>69825</v>
      </c>
      <c r="AP17" s="129">
        <f>AM17+AO17</f>
        <v>209475</v>
      </c>
      <c r="AQ17" s="129">
        <f t="shared" si="6"/>
        <v>41895</v>
      </c>
      <c r="AR17" s="129">
        <f t="shared" si="7"/>
        <v>62842.5</v>
      </c>
      <c r="AS17" s="129">
        <f t="shared" si="8"/>
        <v>50274</v>
      </c>
      <c r="AT17" s="129">
        <f t="shared" si="9"/>
        <v>30164.399999999998</v>
      </c>
      <c r="AU17" s="209">
        <f t="shared" si="10"/>
        <v>394650.9</v>
      </c>
      <c r="AV17" s="202">
        <f t="shared" si="2"/>
        <v>2793</v>
      </c>
      <c r="AW17" s="153">
        <f t="shared" si="3"/>
        <v>27930</v>
      </c>
      <c r="AX17" s="202">
        <f t="shared" si="4"/>
        <v>13965</v>
      </c>
      <c r="AY17" s="202">
        <v>35</v>
      </c>
      <c r="AZ17" s="190" t="s">
        <v>118</v>
      </c>
      <c r="BA17" s="129">
        <f t="shared" si="0"/>
        <v>255000.90000000002</v>
      </c>
    </row>
    <row r="18" spans="1:53" ht="123.75" customHeight="1" x14ac:dyDescent="0.25">
      <c r="A18" s="238"/>
      <c r="B18" s="82"/>
      <c r="C18" s="115" t="s">
        <v>22</v>
      </c>
      <c r="D18" s="10"/>
      <c r="E18" s="10"/>
      <c r="F18" s="47"/>
      <c r="G18" s="73"/>
      <c r="H18" s="75"/>
      <c r="I18" s="4"/>
      <c r="K18" s="4"/>
      <c r="L18" s="34"/>
      <c r="M18" s="4"/>
      <c r="N18" s="34"/>
      <c r="O18" s="4"/>
      <c r="P18" s="34"/>
      <c r="Q18" s="4">
        <v>0</v>
      </c>
      <c r="R18" s="55"/>
      <c r="S18" s="77"/>
      <c r="T18" s="179"/>
      <c r="U18" s="129"/>
      <c r="V18" s="77"/>
      <c r="W18" s="129"/>
      <c r="X18" s="129"/>
      <c r="Y18" s="129"/>
      <c r="Z18" s="129"/>
      <c r="AA18" s="129"/>
      <c r="AB18" s="129"/>
      <c r="AC18" s="129"/>
      <c r="AD18" s="129"/>
      <c r="AE18" s="129"/>
      <c r="AF18" s="147"/>
      <c r="AG18" s="147"/>
      <c r="AH18" s="129"/>
      <c r="AI18" s="129"/>
      <c r="AJ18" s="129"/>
      <c r="AK18" s="129"/>
      <c r="AL18" s="129"/>
      <c r="AM18" s="199"/>
      <c r="AN18" s="147"/>
      <c r="AO18" s="127"/>
      <c r="AP18" s="129"/>
      <c r="AQ18" s="129"/>
      <c r="AR18" s="129"/>
      <c r="AS18" s="129"/>
      <c r="AT18" s="129"/>
      <c r="AU18" s="209"/>
      <c r="AV18" s="202">
        <f t="shared" si="2"/>
        <v>0</v>
      </c>
      <c r="AW18" s="153">
        <f t="shared" si="3"/>
        <v>0</v>
      </c>
      <c r="AX18" s="202">
        <f t="shared" si="4"/>
        <v>0</v>
      </c>
      <c r="AY18" s="202"/>
      <c r="AZ18" s="73"/>
      <c r="BA18" s="129"/>
    </row>
    <row r="19" spans="1:53" ht="21.75" customHeight="1" x14ac:dyDescent="0.25">
      <c r="A19" s="239"/>
      <c r="B19" s="9" t="s">
        <v>15</v>
      </c>
      <c r="C19" s="220" t="s">
        <v>59</v>
      </c>
      <c r="D19" s="221"/>
      <c r="E19" s="221"/>
      <c r="F19" s="79"/>
      <c r="G19" s="73"/>
      <c r="H19" s="75"/>
      <c r="I19" s="4"/>
      <c r="J19" s="74"/>
      <c r="K19" s="4"/>
      <c r="L19" s="76"/>
      <c r="M19" s="4"/>
      <c r="N19" s="76"/>
      <c r="O19" s="4"/>
      <c r="P19" s="76"/>
      <c r="Q19" s="4"/>
      <c r="R19" s="80"/>
      <c r="S19" s="77"/>
      <c r="T19" s="132"/>
      <c r="U19" s="129"/>
      <c r="V19" s="77"/>
      <c r="W19" s="129"/>
      <c r="X19" s="129"/>
      <c r="Y19" s="129"/>
      <c r="Z19" s="129"/>
      <c r="AA19" s="129"/>
      <c r="AB19" s="129"/>
      <c r="AC19" s="129"/>
      <c r="AD19" s="129"/>
      <c r="AE19" s="129"/>
      <c r="AF19" s="147"/>
      <c r="AG19" s="147"/>
      <c r="AH19" s="129"/>
      <c r="AI19" s="129"/>
      <c r="AJ19" s="129"/>
      <c r="AK19" s="129"/>
      <c r="AL19" s="129"/>
      <c r="AM19" s="199"/>
      <c r="AN19" s="147"/>
      <c r="AO19" s="127"/>
      <c r="AP19" s="129"/>
      <c r="AQ19" s="129"/>
      <c r="AR19" s="129"/>
      <c r="AS19" s="129"/>
      <c r="AT19" s="129"/>
      <c r="AU19" s="209"/>
      <c r="AV19" s="202">
        <f t="shared" si="2"/>
        <v>0</v>
      </c>
      <c r="AW19" s="153">
        <f t="shared" si="3"/>
        <v>0</v>
      </c>
      <c r="AX19" s="202">
        <f t="shared" si="4"/>
        <v>0</v>
      </c>
      <c r="AY19" s="202"/>
      <c r="AZ19" s="73"/>
      <c r="BA19" s="129"/>
    </row>
    <row r="20" spans="1:53" ht="32.25" customHeight="1" x14ac:dyDescent="0.25">
      <c r="A20" s="218">
        <v>7</v>
      </c>
      <c r="B20" s="84"/>
      <c r="C20" s="116" t="s">
        <v>23</v>
      </c>
      <c r="D20" s="11">
        <v>10</v>
      </c>
      <c r="E20" s="11">
        <f>D20*5</f>
        <v>50</v>
      </c>
      <c r="F20" s="48">
        <v>25</v>
      </c>
      <c r="G20" s="73">
        <v>125</v>
      </c>
      <c r="H20" s="48">
        <v>10</v>
      </c>
      <c r="I20" s="4">
        <v>50</v>
      </c>
      <c r="J20" s="10" t="s">
        <v>77</v>
      </c>
      <c r="K20" s="4">
        <v>0</v>
      </c>
      <c r="L20" s="35">
        <v>10</v>
      </c>
      <c r="M20" s="4">
        <v>50</v>
      </c>
      <c r="N20" s="35">
        <v>5</v>
      </c>
      <c r="O20" s="4">
        <v>25</v>
      </c>
      <c r="P20" s="35">
        <v>0</v>
      </c>
      <c r="Q20" s="4">
        <v>0</v>
      </c>
      <c r="R20" s="55">
        <v>10</v>
      </c>
      <c r="S20" s="77">
        <v>50</v>
      </c>
      <c r="T20" s="179">
        <v>120</v>
      </c>
      <c r="U20" s="129">
        <f>T20*E20</f>
        <v>6000</v>
      </c>
      <c r="V20" s="77">
        <f t="shared" si="5"/>
        <v>350</v>
      </c>
      <c r="W20" s="129">
        <v>6000</v>
      </c>
      <c r="X20" s="129">
        <f>T20*G20</f>
        <v>15000</v>
      </c>
      <c r="Y20" s="129">
        <v>15000</v>
      </c>
      <c r="Z20" s="129">
        <f>T20*I20</f>
        <v>6000</v>
      </c>
      <c r="AA20" s="129">
        <v>6000</v>
      </c>
      <c r="AB20" s="129">
        <f>T20*K20</f>
        <v>0</v>
      </c>
      <c r="AC20" s="129">
        <v>0</v>
      </c>
      <c r="AD20" s="129">
        <f>T20*M20</f>
        <v>6000</v>
      </c>
      <c r="AE20" s="129">
        <v>6000</v>
      </c>
      <c r="AF20" s="147">
        <f>T20*O20</f>
        <v>3000</v>
      </c>
      <c r="AG20" s="147">
        <v>3000</v>
      </c>
      <c r="AH20" s="129">
        <f>T20*Q20</f>
        <v>0</v>
      </c>
      <c r="AI20" s="129">
        <v>3000</v>
      </c>
      <c r="AJ20" s="129">
        <v>0</v>
      </c>
      <c r="AK20" s="129">
        <f>T20*S20</f>
        <v>6000</v>
      </c>
      <c r="AL20" s="129">
        <v>6000</v>
      </c>
      <c r="AM20" s="199">
        <f>AL20+AJ20+AI20+AE20+AC20+AA20+Y20+W20</f>
        <v>42000</v>
      </c>
      <c r="AN20" s="147">
        <f t="shared" si="1"/>
        <v>4200</v>
      </c>
      <c r="AO20" s="127">
        <f>AM20/2</f>
        <v>21000</v>
      </c>
      <c r="AP20" s="129">
        <f>AM20+AO20</f>
        <v>63000</v>
      </c>
      <c r="AQ20" s="129">
        <f t="shared" si="6"/>
        <v>12600</v>
      </c>
      <c r="AR20" s="129">
        <f t="shared" si="7"/>
        <v>18900</v>
      </c>
      <c r="AS20" s="129">
        <f t="shared" si="8"/>
        <v>15120</v>
      </c>
      <c r="AT20" s="129">
        <f t="shared" si="9"/>
        <v>9072</v>
      </c>
      <c r="AU20" s="209">
        <f t="shared" si="10"/>
        <v>118692</v>
      </c>
      <c r="AV20" s="202">
        <f t="shared" si="2"/>
        <v>840</v>
      </c>
      <c r="AW20" s="153">
        <f t="shared" si="3"/>
        <v>8400</v>
      </c>
      <c r="AX20" s="202">
        <f t="shared" si="4"/>
        <v>4200</v>
      </c>
      <c r="AY20" s="202" t="s">
        <v>140</v>
      </c>
      <c r="AZ20" s="190" t="s">
        <v>119</v>
      </c>
      <c r="BA20" s="129">
        <f t="shared" si="0"/>
        <v>76692</v>
      </c>
    </row>
    <row r="21" spans="1:53" ht="110.25" customHeight="1" x14ac:dyDescent="0.25">
      <c r="A21" s="233"/>
      <c r="B21" s="81"/>
      <c r="C21" s="117" t="s">
        <v>24</v>
      </c>
      <c r="D21" s="31"/>
      <c r="E21" s="31"/>
      <c r="F21" s="50"/>
      <c r="G21" s="73"/>
      <c r="H21" s="75"/>
      <c r="I21" s="4"/>
      <c r="J21" s="73"/>
      <c r="K21" s="4"/>
      <c r="L21" s="10"/>
      <c r="M21" s="4"/>
      <c r="N21" s="37"/>
      <c r="O21" s="4"/>
      <c r="P21" s="37"/>
      <c r="Q21" s="4"/>
      <c r="R21" s="57"/>
      <c r="S21" s="77">
        <v>0</v>
      </c>
      <c r="T21" s="179"/>
      <c r="U21" s="129"/>
      <c r="V21" s="77"/>
      <c r="W21" s="129"/>
      <c r="X21" s="129"/>
      <c r="Y21" s="129"/>
      <c r="Z21" s="129"/>
      <c r="AA21" s="129"/>
      <c r="AB21" s="129"/>
      <c r="AC21" s="129"/>
      <c r="AD21" s="129"/>
      <c r="AE21" s="129"/>
      <c r="AF21" s="147"/>
      <c r="AG21" s="147"/>
      <c r="AH21" s="129"/>
      <c r="AI21" s="129"/>
      <c r="AJ21" s="129"/>
      <c r="AK21" s="129"/>
      <c r="AL21" s="129"/>
      <c r="AM21" s="199"/>
      <c r="AN21" s="147"/>
      <c r="AO21" s="127"/>
      <c r="AP21" s="129"/>
      <c r="AQ21" s="129"/>
      <c r="AR21" s="129"/>
      <c r="AS21" s="129"/>
      <c r="AT21" s="129"/>
      <c r="AU21" s="209"/>
      <c r="AV21" s="202">
        <f t="shared" si="2"/>
        <v>0</v>
      </c>
      <c r="AW21" s="153">
        <f t="shared" si="3"/>
        <v>0</v>
      </c>
      <c r="AX21" s="202">
        <f t="shared" si="4"/>
        <v>0</v>
      </c>
      <c r="AY21" s="202"/>
      <c r="AZ21" s="73"/>
      <c r="BA21" s="129"/>
    </row>
    <row r="22" spans="1:53" ht="26.25" customHeight="1" x14ac:dyDescent="0.25">
      <c r="A22" s="234">
        <v>8</v>
      </c>
      <c r="B22" s="9"/>
      <c r="C22" s="113" t="s">
        <v>25</v>
      </c>
      <c r="D22" s="10"/>
      <c r="E22" s="10"/>
      <c r="F22" s="51"/>
      <c r="G22" s="73"/>
      <c r="H22" s="75"/>
      <c r="I22" s="4"/>
      <c r="J22" s="10"/>
      <c r="K22" s="4"/>
      <c r="L22" s="10"/>
      <c r="M22" s="4"/>
      <c r="N22" s="38"/>
      <c r="O22" s="4"/>
      <c r="P22" s="10"/>
      <c r="Q22" s="4"/>
      <c r="R22" s="58"/>
      <c r="S22" s="77"/>
      <c r="T22" s="132"/>
      <c r="U22" s="129"/>
      <c r="V22" s="77"/>
      <c r="W22" s="129"/>
      <c r="X22" s="129"/>
      <c r="Y22" s="129"/>
      <c r="Z22" s="129"/>
      <c r="AA22" s="129"/>
      <c r="AB22" s="129"/>
      <c r="AC22" s="129"/>
      <c r="AD22" s="129"/>
      <c r="AE22" s="129"/>
      <c r="AF22" s="147"/>
      <c r="AG22" s="147"/>
      <c r="AH22" s="129"/>
      <c r="AI22" s="129"/>
      <c r="AJ22" s="129"/>
      <c r="AK22" s="129"/>
      <c r="AL22" s="129"/>
      <c r="AM22" s="199"/>
      <c r="AN22" s="147"/>
      <c r="AO22" s="127"/>
      <c r="AP22" s="129"/>
      <c r="AQ22" s="129"/>
      <c r="AR22" s="129"/>
      <c r="AS22" s="129"/>
      <c r="AT22" s="129"/>
      <c r="AU22" s="209"/>
      <c r="AV22" s="202">
        <f t="shared" si="2"/>
        <v>0</v>
      </c>
      <c r="AW22" s="153">
        <f t="shared" si="3"/>
        <v>0</v>
      </c>
      <c r="AX22" s="202">
        <f t="shared" si="4"/>
        <v>0</v>
      </c>
      <c r="AY22" s="203"/>
      <c r="AZ22" s="245">
        <v>9517181237</v>
      </c>
      <c r="BA22" s="129">
        <f t="shared" si="0"/>
        <v>0</v>
      </c>
    </row>
    <row r="23" spans="1:53" ht="45" customHeight="1" x14ac:dyDescent="0.25">
      <c r="A23" s="235"/>
      <c r="B23" s="13" t="s">
        <v>26</v>
      </c>
      <c r="C23" s="118" t="s">
        <v>27</v>
      </c>
      <c r="D23" s="32">
        <v>2000</v>
      </c>
      <c r="E23" s="10">
        <f>2000*5</f>
        <v>10000</v>
      </c>
      <c r="F23" s="52">
        <v>1000</v>
      </c>
      <c r="G23" s="73">
        <v>5000</v>
      </c>
      <c r="H23" s="48"/>
      <c r="I23" s="4">
        <v>0</v>
      </c>
      <c r="J23" s="39" t="s">
        <v>77</v>
      </c>
      <c r="K23" s="4">
        <v>0</v>
      </c>
      <c r="L23" s="39">
        <v>2350</v>
      </c>
      <c r="M23" s="4">
        <v>11750</v>
      </c>
      <c r="N23" s="39">
        <v>500</v>
      </c>
      <c r="O23" s="4">
        <v>2500</v>
      </c>
      <c r="P23" s="39">
        <v>250</v>
      </c>
      <c r="Q23" s="4">
        <v>1250</v>
      </c>
      <c r="R23" s="59">
        <v>5000</v>
      </c>
      <c r="S23" s="77">
        <v>25000</v>
      </c>
      <c r="T23" s="179">
        <v>15</v>
      </c>
      <c r="U23" s="129">
        <f>T23*E23</f>
        <v>150000</v>
      </c>
      <c r="V23" s="77">
        <f t="shared" si="5"/>
        <v>55500</v>
      </c>
      <c r="W23" s="156">
        <f>T23*E23</f>
        <v>150000</v>
      </c>
      <c r="X23" s="129">
        <f>T23*G23</f>
        <v>75000</v>
      </c>
      <c r="Y23" s="156">
        <f>T23*G23</f>
        <v>75000</v>
      </c>
      <c r="Z23" s="129">
        <f>T23*I23</f>
        <v>0</v>
      </c>
      <c r="AA23" s="156">
        <v>0</v>
      </c>
      <c r="AB23" s="129"/>
      <c r="AC23" s="156">
        <v>0</v>
      </c>
      <c r="AD23" s="129"/>
      <c r="AE23" s="156">
        <f>M23*T23</f>
        <v>176250</v>
      </c>
      <c r="AF23" s="147"/>
      <c r="AG23" s="169">
        <f>T23*O23</f>
        <v>37500</v>
      </c>
      <c r="AH23" s="129">
        <f>T23*Q23</f>
        <v>18750</v>
      </c>
      <c r="AI23" s="156">
        <f>O23*T23</f>
        <v>37500</v>
      </c>
      <c r="AJ23" s="156">
        <f>Q23*T23</f>
        <v>18750</v>
      </c>
      <c r="AK23" s="129"/>
      <c r="AL23" s="156">
        <f>T23*S23</f>
        <v>375000</v>
      </c>
      <c r="AM23" s="199">
        <f>AL23+AJ23+AI23+AE23+Y23+W23</f>
        <v>832500</v>
      </c>
      <c r="AN23" s="147"/>
      <c r="AO23" s="127">
        <f>AM23/2</f>
        <v>416250</v>
      </c>
      <c r="AP23" s="129">
        <f>AM23+AO23</f>
        <v>1248750</v>
      </c>
      <c r="AQ23" s="129">
        <f t="shared" si="6"/>
        <v>249750</v>
      </c>
      <c r="AR23" s="129">
        <f t="shared" si="7"/>
        <v>374625</v>
      </c>
      <c r="AS23" s="129">
        <f t="shared" si="8"/>
        <v>299700</v>
      </c>
      <c r="AT23" s="129">
        <f t="shared" si="9"/>
        <v>179820</v>
      </c>
      <c r="AU23" s="209">
        <f t="shared" si="10"/>
        <v>2352645</v>
      </c>
      <c r="AV23" s="202">
        <f t="shared" si="2"/>
        <v>16650</v>
      </c>
      <c r="AW23" s="153">
        <f t="shared" si="3"/>
        <v>166500</v>
      </c>
      <c r="AX23" s="202">
        <f t="shared" si="4"/>
        <v>83250</v>
      </c>
      <c r="AY23" s="204">
        <v>140</v>
      </c>
      <c r="AZ23" s="217"/>
      <c r="BA23" s="129">
        <f t="shared" si="0"/>
        <v>1520145</v>
      </c>
    </row>
    <row r="24" spans="1:53" ht="39.75" customHeight="1" x14ac:dyDescent="0.25">
      <c r="A24" s="236"/>
      <c r="B24" s="33" t="s">
        <v>15</v>
      </c>
      <c r="C24" s="220" t="s">
        <v>59</v>
      </c>
      <c r="D24" s="221"/>
      <c r="E24" s="221"/>
      <c r="F24" s="79"/>
      <c r="G24" s="73"/>
      <c r="H24" s="75"/>
      <c r="I24" s="4"/>
      <c r="J24" s="74"/>
      <c r="K24" s="4"/>
      <c r="L24" s="76"/>
      <c r="M24" s="4"/>
      <c r="N24" s="76"/>
      <c r="O24" s="4"/>
      <c r="P24" s="39">
        <v>250</v>
      </c>
      <c r="Q24" s="4"/>
      <c r="R24" s="80"/>
      <c r="S24" s="77"/>
      <c r="T24" s="132"/>
      <c r="U24" s="129"/>
      <c r="V24" s="77"/>
      <c r="W24" s="129"/>
      <c r="X24" s="129"/>
      <c r="Y24" s="129"/>
      <c r="Z24" s="129"/>
      <c r="AA24" s="129"/>
      <c r="AB24" s="129"/>
      <c r="AC24" s="129"/>
      <c r="AD24" s="129"/>
      <c r="AE24" s="129"/>
      <c r="AF24" s="147"/>
      <c r="AG24" s="147"/>
      <c r="AH24" s="129"/>
      <c r="AI24" s="129"/>
      <c r="AJ24" s="129"/>
      <c r="AK24" s="129"/>
      <c r="AL24" s="129"/>
      <c r="AM24" s="199"/>
      <c r="AN24" s="147"/>
      <c r="AO24" s="127"/>
      <c r="AP24" s="129"/>
      <c r="AQ24" s="129"/>
      <c r="AR24" s="129"/>
      <c r="AS24" s="129"/>
      <c r="AT24" s="129"/>
      <c r="AU24" s="209"/>
      <c r="AV24" s="202">
        <f t="shared" si="2"/>
        <v>0</v>
      </c>
      <c r="AW24" s="153">
        <f t="shared" si="3"/>
        <v>0</v>
      </c>
      <c r="AX24" s="202">
        <f t="shared" si="4"/>
        <v>0</v>
      </c>
      <c r="AY24" s="202"/>
      <c r="AZ24" s="73"/>
      <c r="BA24" s="129"/>
    </row>
    <row r="25" spans="1:53" ht="18" customHeight="1" x14ac:dyDescent="0.25">
      <c r="A25" s="234">
        <v>9</v>
      </c>
      <c r="B25" s="73"/>
      <c r="C25" s="116" t="s">
        <v>31</v>
      </c>
      <c r="D25" s="16"/>
      <c r="E25" s="16"/>
      <c r="F25" s="47"/>
      <c r="G25" s="73"/>
      <c r="H25" s="75"/>
      <c r="I25" s="4"/>
      <c r="J25" s="40"/>
      <c r="K25" s="4"/>
      <c r="L25" s="40"/>
      <c r="M25" s="4"/>
      <c r="N25" s="40"/>
      <c r="O25" s="4"/>
      <c r="P25" s="40"/>
      <c r="Q25" s="4"/>
      <c r="R25" s="60"/>
      <c r="S25" s="77"/>
      <c r="T25" s="132"/>
      <c r="U25" s="129"/>
      <c r="V25" s="77"/>
      <c r="W25" s="129"/>
      <c r="X25" s="129"/>
      <c r="Y25" s="129"/>
      <c r="Z25" s="129"/>
      <c r="AA25" s="129"/>
      <c r="AB25" s="129"/>
      <c r="AC25" s="129"/>
      <c r="AD25" s="129"/>
      <c r="AE25" s="129"/>
      <c r="AF25" s="147"/>
      <c r="AG25" s="147"/>
      <c r="AH25" s="129"/>
      <c r="AI25" s="129"/>
      <c r="AJ25" s="129"/>
      <c r="AK25" s="129"/>
      <c r="AL25" s="129"/>
      <c r="AM25" s="199"/>
      <c r="AN25" s="147"/>
      <c r="AO25" s="127"/>
      <c r="AP25" s="129"/>
      <c r="AQ25" s="129"/>
      <c r="AR25" s="129"/>
      <c r="AS25" s="129"/>
      <c r="AT25" s="129"/>
      <c r="AU25" s="209"/>
      <c r="AV25" s="202">
        <f t="shared" si="2"/>
        <v>0</v>
      </c>
      <c r="AW25" s="153">
        <f t="shared" si="3"/>
        <v>0</v>
      </c>
      <c r="AX25" s="202">
        <f t="shared" si="4"/>
        <v>0</v>
      </c>
      <c r="AY25" s="202"/>
      <c r="AZ25" s="73"/>
      <c r="BA25" s="129"/>
    </row>
    <row r="26" spans="1:53" ht="60" customHeight="1" x14ac:dyDescent="0.25">
      <c r="A26" s="235"/>
      <c r="B26" s="13" t="s">
        <v>26</v>
      </c>
      <c r="C26" s="119" t="s">
        <v>52</v>
      </c>
      <c r="D26" s="11">
        <v>80</v>
      </c>
      <c r="E26" s="11">
        <f>80*5</f>
        <v>400</v>
      </c>
      <c r="F26" s="48">
        <v>160</v>
      </c>
      <c r="G26" s="73">
        <v>800</v>
      </c>
      <c r="H26" s="48"/>
      <c r="I26" s="4">
        <v>0</v>
      </c>
      <c r="J26" s="34" t="s">
        <v>77</v>
      </c>
      <c r="K26" s="4">
        <v>0</v>
      </c>
      <c r="L26" s="35">
        <v>70</v>
      </c>
      <c r="M26" s="4">
        <v>350</v>
      </c>
      <c r="N26" s="35">
        <v>120</v>
      </c>
      <c r="O26" s="4">
        <v>600</v>
      </c>
      <c r="P26" s="35">
        <v>60</v>
      </c>
      <c r="Q26" s="4">
        <v>300</v>
      </c>
      <c r="R26" s="55">
        <v>320</v>
      </c>
      <c r="S26" s="77">
        <v>1600</v>
      </c>
      <c r="T26" s="180">
        <v>55</v>
      </c>
      <c r="U26" s="129">
        <f>T26*E26</f>
        <v>22000</v>
      </c>
      <c r="V26" s="77">
        <f t="shared" si="5"/>
        <v>4050</v>
      </c>
      <c r="W26" s="156">
        <f>T26*E26</f>
        <v>22000</v>
      </c>
      <c r="X26" s="129">
        <f>T26*G26</f>
        <v>44000</v>
      </c>
      <c r="Y26" s="156">
        <f>G26*T26</f>
        <v>44000</v>
      </c>
      <c r="Z26" s="129">
        <f>T26*I26</f>
        <v>0</v>
      </c>
      <c r="AA26" s="156">
        <v>0</v>
      </c>
      <c r="AB26" s="129">
        <f>T26*K26</f>
        <v>0</v>
      </c>
      <c r="AC26" s="156">
        <v>0</v>
      </c>
      <c r="AD26" s="129">
        <f>T26*M26</f>
        <v>19250</v>
      </c>
      <c r="AE26" s="156">
        <f>T26*M26</f>
        <v>19250</v>
      </c>
      <c r="AF26" s="147">
        <f>T26*O26</f>
        <v>33000</v>
      </c>
      <c r="AG26" s="169">
        <f>T26*O26</f>
        <v>33000</v>
      </c>
      <c r="AH26" s="129">
        <f>T26*Q26</f>
        <v>16500</v>
      </c>
      <c r="AI26" s="156">
        <f>T26*O26</f>
        <v>33000</v>
      </c>
      <c r="AJ26" s="156">
        <f>T26*Q26</f>
        <v>16500</v>
      </c>
      <c r="AK26" s="129"/>
      <c r="AL26" s="156">
        <f>T26*S26</f>
        <v>88000</v>
      </c>
      <c r="AM26" s="199">
        <f>AL26+AJ26+AI26+AE26+Y26+W26</f>
        <v>222750</v>
      </c>
      <c r="AN26" s="147">
        <f t="shared" si="1"/>
        <v>22275</v>
      </c>
      <c r="AO26" s="127">
        <f t="shared" ref="AO26:AO53" si="11">AM26/2</f>
        <v>111375</v>
      </c>
      <c r="AP26" s="129">
        <f>AM26+AO26</f>
        <v>334125</v>
      </c>
      <c r="AQ26" s="129">
        <f t="shared" si="6"/>
        <v>66825</v>
      </c>
      <c r="AR26" s="129">
        <f t="shared" si="7"/>
        <v>100237.5</v>
      </c>
      <c r="AS26" s="129">
        <f t="shared" si="8"/>
        <v>80190</v>
      </c>
      <c r="AT26" s="129">
        <f t="shared" si="9"/>
        <v>48114</v>
      </c>
      <c r="AU26" s="209">
        <f t="shared" si="10"/>
        <v>629491.5</v>
      </c>
      <c r="AV26" s="202">
        <f t="shared" si="2"/>
        <v>4455</v>
      </c>
      <c r="AW26" s="153">
        <f t="shared" si="3"/>
        <v>44550</v>
      </c>
      <c r="AX26" s="202">
        <f t="shared" si="4"/>
        <v>22275</v>
      </c>
      <c r="AY26" s="202">
        <v>70</v>
      </c>
      <c r="AZ26" s="190" t="s">
        <v>120</v>
      </c>
      <c r="BA26" s="129">
        <f t="shared" si="0"/>
        <v>406741.5</v>
      </c>
    </row>
    <row r="27" spans="1:53" ht="24" customHeight="1" x14ac:dyDescent="0.25">
      <c r="A27" s="217"/>
      <c r="B27" s="33" t="s">
        <v>15</v>
      </c>
      <c r="C27" s="220" t="s">
        <v>59</v>
      </c>
      <c r="D27" s="221"/>
      <c r="E27" s="221"/>
      <c r="F27" s="79"/>
      <c r="G27" s="73"/>
      <c r="H27" s="75"/>
      <c r="I27" s="4"/>
      <c r="J27" s="74"/>
      <c r="K27" s="4"/>
      <c r="L27" s="76"/>
      <c r="M27" s="4"/>
      <c r="N27" s="76"/>
      <c r="O27" s="4"/>
      <c r="P27" s="76"/>
      <c r="Q27" s="4"/>
      <c r="R27" s="80"/>
      <c r="S27" s="77"/>
      <c r="T27" s="132"/>
      <c r="U27" s="129"/>
      <c r="V27" s="77"/>
      <c r="W27" s="129"/>
      <c r="X27" s="129"/>
      <c r="Y27" s="129"/>
      <c r="Z27" s="129"/>
      <c r="AA27" s="129"/>
      <c r="AB27" s="129"/>
      <c r="AC27" s="129"/>
      <c r="AD27" s="129"/>
      <c r="AE27" s="129"/>
      <c r="AF27" s="147"/>
      <c r="AG27" s="147"/>
      <c r="AH27" s="129"/>
      <c r="AI27" s="129"/>
      <c r="AJ27" s="129"/>
      <c r="AK27" s="129"/>
      <c r="AL27" s="129"/>
      <c r="AM27" s="199"/>
      <c r="AN27" s="147"/>
      <c r="AO27" s="127"/>
      <c r="AP27" s="129"/>
      <c r="AQ27" s="129"/>
      <c r="AR27" s="129"/>
      <c r="AS27" s="129"/>
      <c r="AT27" s="129"/>
      <c r="AU27" s="209"/>
      <c r="AV27" s="202">
        <f t="shared" si="2"/>
        <v>0</v>
      </c>
      <c r="AW27" s="153">
        <f t="shared" si="3"/>
        <v>0</v>
      </c>
      <c r="AX27" s="202">
        <f t="shared" si="4"/>
        <v>0</v>
      </c>
      <c r="AY27" s="202"/>
      <c r="AZ27" s="73"/>
      <c r="BA27" s="129"/>
    </row>
    <row r="28" spans="1:53" ht="20.25" customHeight="1" x14ac:dyDescent="0.25">
      <c r="A28" s="218">
        <v>10</v>
      </c>
      <c r="B28" s="73"/>
      <c r="C28" s="113" t="s">
        <v>33</v>
      </c>
      <c r="D28" s="10"/>
      <c r="E28" s="10"/>
      <c r="F28" s="47"/>
      <c r="G28" s="73"/>
      <c r="H28" s="75"/>
      <c r="I28" s="4"/>
      <c r="J28" s="34"/>
      <c r="K28" s="4"/>
      <c r="L28" s="34"/>
      <c r="M28" s="4"/>
      <c r="N28" s="34"/>
      <c r="O28" s="4"/>
      <c r="P28" s="34"/>
      <c r="Q28" s="4"/>
      <c r="R28" s="55"/>
      <c r="S28" s="77"/>
      <c r="T28" s="132"/>
      <c r="U28" s="129"/>
      <c r="V28" s="77"/>
      <c r="W28" s="129"/>
      <c r="X28" s="129"/>
      <c r="Y28" s="129"/>
      <c r="Z28" s="129"/>
      <c r="AA28" s="129"/>
      <c r="AB28" s="129"/>
      <c r="AC28" s="129"/>
      <c r="AD28" s="129"/>
      <c r="AE28" s="129"/>
      <c r="AF28" s="147"/>
      <c r="AG28" s="147"/>
      <c r="AH28" s="129"/>
      <c r="AI28" s="129"/>
      <c r="AJ28" s="129"/>
      <c r="AK28" s="129"/>
      <c r="AL28" s="129"/>
      <c r="AM28" s="199"/>
      <c r="AN28" s="147"/>
      <c r="AO28" s="127"/>
      <c r="AP28" s="129"/>
      <c r="AQ28" s="129"/>
      <c r="AR28" s="129"/>
      <c r="AS28" s="129"/>
      <c r="AT28" s="129"/>
      <c r="AU28" s="209"/>
      <c r="AV28" s="202">
        <f t="shared" si="2"/>
        <v>0</v>
      </c>
      <c r="AW28" s="153">
        <f t="shared" si="3"/>
        <v>0</v>
      </c>
      <c r="AX28" s="202">
        <f t="shared" si="4"/>
        <v>0</v>
      </c>
      <c r="AY28" s="202"/>
      <c r="AZ28" s="73"/>
      <c r="BA28" s="129"/>
    </row>
    <row r="29" spans="1:53" ht="62.25" customHeight="1" x14ac:dyDescent="0.25">
      <c r="A29" s="219"/>
      <c r="B29" s="30" t="s">
        <v>15</v>
      </c>
      <c r="C29" s="114" t="s">
        <v>34</v>
      </c>
      <c r="D29" s="10">
        <v>30</v>
      </c>
      <c r="E29" s="10">
        <f>D29*5</f>
        <v>150</v>
      </c>
      <c r="F29" s="47">
        <v>40</v>
      </c>
      <c r="G29" s="73">
        <v>200</v>
      </c>
      <c r="H29" s="48"/>
      <c r="I29" s="4">
        <v>0</v>
      </c>
      <c r="J29" s="34" t="s">
        <v>77</v>
      </c>
      <c r="K29" s="4">
        <v>0</v>
      </c>
      <c r="L29" s="34">
        <v>30</v>
      </c>
      <c r="M29" s="4">
        <v>150</v>
      </c>
      <c r="N29" s="34">
        <v>20</v>
      </c>
      <c r="O29" s="4">
        <v>100</v>
      </c>
      <c r="P29" s="34">
        <v>5</v>
      </c>
      <c r="Q29" s="4">
        <v>25</v>
      </c>
      <c r="R29" s="55">
        <v>80</v>
      </c>
      <c r="S29" s="77">
        <v>400</v>
      </c>
      <c r="T29" s="180">
        <v>216</v>
      </c>
      <c r="U29" s="129">
        <f>T29*E29</f>
        <v>32400</v>
      </c>
      <c r="V29" s="77">
        <f t="shared" si="5"/>
        <v>1025</v>
      </c>
      <c r="W29" s="129">
        <v>32400</v>
      </c>
      <c r="X29" s="129">
        <f>T29*G29</f>
        <v>43200</v>
      </c>
      <c r="Y29" s="129">
        <v>43200</v>
      </c>
      <c r="Z29" s="129">
        <f>T29*I29</f>
        <v>0</v>
      </c>
      <c r="AA29" s="129">
        <v>0</v>
      </c>
      <c r="AB29" s="129">
        <f>T29*K29</f>
        <v>0</v>
      </c>
      <c r="AC29" s="129">
        <v>0</v>
      </c>
      <c r="AD29" s="129">
        <f>T29*M29</f>
        <v>32400</v>
      </c>
      <c r="AE29" s="129">
        <v>32400</v>
      </c>
      <c r="AF29" s="147">
        <f>T29*O29</f>
        <v>21600</v>
      </c>
      <c r="AG29" s="147">
        <v>21600</v>
      </c>
      <c r="AH29" s="129">
        <f>T29*Q29</f>
        <v>5400</v>
      </c>
      <c r="AI29" s="129">
        <v>21600</v>
      </c>
      <c r="AJ29" s="129">
        <v>5400</v>
      </c>
      <c r="AK29" s="129">
        <f>T29*S29</f>
        <v>86400</v>
      </c>
      <c r="AL29" s="129">
        <v>86400</v>
      </c>
      <c r="AM29" s="199">
        <f t="shared" ref="AM29:AM32" si="12">AL29+AJ29+AI29+AE29+AC29+AA29+Y29+W29</f>
        <v>221400</v>
      </c>
      <c r="AN29" s="147">
        <f t="shared" si="1"/>
        <v>22140</v>
      </c>
      <c r="AO29" s="127">
        <f t="shared" si="11"/>
        <v>110700</v>
      </c>
      <c r="AP29" s="129">
        <f>AM29+AO29</f>
        <v>332100</v>
      </c>
      <c r="AQ29" s="129">
        <f t="shared" si="6"/>
        <v>66420</v>
      </c>
      <c r="AR29" s="129">
        <f t="shared" si="7"/>
        <v>99630</v>
      </c>
      <c r="AS29" s="129">
        <f t="shared" si="8"/>
        <v>79704</v>
      </c>
      <c r="AT29" s="129">
        <f t="shared" si="9"/>
        <v>47822.399999999994</v>
      </c>
      <c r="AU29" s="209">
        <f t="shared" si="10"/>
        <v>625676.4</v>
      </c>
      <c r="AV29" s="202">
        <f t="shared" si="2"/>
        <v>4428</v>
      </c>
      <c r="AW29" s="153">
        <f t="shared" si="3"/>
        <v>44280</v>
      </c>
      <c r="AX29" s="202">
        <f t="shared" si="4"/>
        <v>22140</v>
      </c>
      <c r="AY29" s="202">
        <v>70</v>
      </c>
      <c r="AZ29" s="190">
        <v>9517238141</v>
      </c>
      <c r="BA29" s="129">
        <f t="shared" si="0"/>
        <v>404276.4</v>
      </c>
    </row>
    <row r="30" spans="1:53" ht="21" customHeight="1" x14ac:dyDescent="0.25">
      <c r="A30" s="17"/>
      <c r="B30" s="30" t="s">
        <v>15</v>
      </c>
      <c r="C30" s="220" t="s">
        <v>59</v>
      </c>
      <c r="D30" s="221"/>
      <c r="E30" s="221"/>
      <c r="F30" s="79"/>
      <c r="G30" s="73"/>
      <c r="H30" s="75"/>
      <c r="I30" s="4"/>
      <c r="J30" s="74"/>
      <c r="K30" s="4"/>
      <c r="L30" s="76"/>
      <c r="M30" s="4"/>
      <c r="N30" s="76"/>
      <c r="O30" s="4"/>
      <c r="P30" s="10"/>
      <c r="Q30" s="4"/>
      <c r="R30" s="80"/>
      <c r="S30" s="77"/>
      <c r="T30" s="132"/>
      <c r="U30" s="129"/>
      <c r="V30" s="77"/>
      <c r="W30" s="129"/>
      <c r="X30" s="129"/>
      <c r="Y30" s="129"/>
      <c r="Z30" s="129"/>
      <c r="AA30" s="129"/>
      <c r="AB30" s="129"/>
      <c r="AC30" s="129"/>
      <c r="AD30" s="129"/>
      <c r="AE30" s="129"/>
      <c r="AF30" s="147"/>
      <c r="AG30" s="147"/>
      <c r="AH30" s="129"/>
      <c r="AI30" s="129"/>
      <c r="AJ30" s="129"/>
      <c r="AK30" s="129"/>
      <c r="AL30" s="129"/>
      <c r="AM30" s="199"/>
      <c r="AN30" s="147"/>
      <c r="AO30" s="127"/>
      <c r="AP30" s="129"/>
      <c r="AQ30" s="129"/>
      <c r="AR30" s="129"/>
      <c r="AS30" s="129"/>
      <c r="AT30" s="129"/>
      <c r="AU30" s="209"/>
      <c r="AV30" s="202">
        <f t="shared" si="2"/>
        <v>0</v>
      </c>
      <c r="AW30" s="153">
        <f t="shared" si="3"/>
        <v>0</v>
      </c>
      <c r="AX30" s="202">
        <f t="shared" si="4"/>
        <v>0</v>
      </c>
      <c r="AY30" s="202"/>
      <c r="AZ30" s="73"/>
      <c r="BA30" s="129"/>
    </row>
    <row r="31" spans="1:53" s="92" customFormat="1" ht="27" customHeight="1" x14ac:dyDescent="0.25">
      <c r="A31" s="251">
        <v>11</v>
      </c>
      <c r="B31" s="191"/>
      <c r="C31" s="120" t="s">
        <v>66</v>
      </c>
      <c r="D31" s="22"/>
      <c r="E31" s="22"/>
      <c r="F31" s="53"/>
      <c r="G31" s="87"/>
      <c r="H31" s="88"/>
      <c r="I31" s="89"/>
      <c r="J31" s="41"/>
      <c r="K31" s="89"/>
      <c r="L31" s="41"/>
      <c r="M31" s="89"/>
      <c r="N31" s="41"/>
      <c r="O31" s="89"/>
      <c r="P31" s="90"/>
      <c r="Q31" s="89"/>
      <c r="R31" s="61"/>
      <c r="S31" s="91"/>
      <c r="T31" s="131"/>
      <c r="U31" s="129"/>
      <c r="V31" s="77"/>
      <c r="W31" s="129"/>
      <c r="X31" s="129"/>
      <c r="Y31" s="129"/>
      <c r="Z31" s="129"/>
      <c r="AA31" s="129"/>
      <c r="AB31" s="129"/>
      <c r="AC31" s="129"/>
      <c r="AD31" s="129"/>
      <c r="AE31" s="129"/>
      <c r="AF31" s="147"/>
      <c r="AG31" s="147"/>
      <c r="AH31" s="129"/>
      <c r="AI31" s="129"/>
      <c r="AJ31" s="129"/>
      <c r="AK31" s="129"/>
      <c r="AL31" s="129"/>
      <c r="AM31" s="199"/>
      <c r="AN31" s="147"/>
      <c r="AO31" s="127"/>
      <c r="AP31" s="129"/>
      <c r="AQ31" s="129"/>
      <c r="AR31" s="129"/>
      <c r="AS31" s="129"/>
      <c r="AT31" s="129"/>
      <c r="AU31" s="209"/>
      <c r="AV31" s="202">
        <f t="shared" si="2"/>
        <v>0</v>
      </c>
      <c r="AW31" s="153">
        <f t="shared" si="3"/>
        <v>0</v>
      </c>
      <c r="AX31" s="202">
        <f t="shared" si="4"/>
        <v>0</v>
      </c>
      <c r="AY31" s="202"/>
      <c r="AZ31" s="87"/>
      <c r="BA31" s="129"/>
    </row>
    <row r="32" spans="1:53" s="98" customFormat="1" ht="48" customHeight="1" x14ac:dyDescent="0.25">
      <c r="A32" s="252"/>
      <c r="B32" s="29" t="s">
        <v>15</v>
      </c>
      <c r="C32" s="121" t="s">
        <v>54</v>
      </c>
      <c r="D32" s="11">
        <v>50</v>
      </c>
      <c r="E32" s="11">
        <f>D32*5</f>
        <v>250</v>
      </c>
      <c r="F32" s="48">
        <v>10</v>
      </c>
      <c r="G32" s="94">
        <v>50</v>
      </c>
      <c r="H32" s="48"/>
      <c r="I32" s="93">
        <v>0</v>
      </c>
      <c r="J32" s="34" t="s">
        <v>77</v>
      </c>
      <c r="K32" s="93">
        <v>0</v>
      </c>
      <c r="L32" s="35">
        <v>30</v>
      </c>
      <c r="M32" s="93">
        <v>150</v>
      </c>
      <c r="N32" s="35">
        <v>10</v>
      </c>
      <c r="O32" s="93">
        <v>50</v>
      </c>
      <c r="P32" s="41"/>
      <c r="Q32" s="93">
        <v>0</v>
      </c>
      <c r="R32" s="55">
        <v>0</v>
      </c>
      <c r="S32" s="97">
        <v>0</v>
      </c>
      <c r="T32" s="179">
        <v>98</v>
      </c>
      <c r="U32" s="129">
        <f>T32*E32</f>
        <v>24500</v>
      </c>
      <c r="V32" s="77">
        <f t="shared" si="5"/>
        <v>500</v>
      </c>
      <c r="W32" s="129">
        <v>24500</v>
      </c>
      <c r="X32" s="129">
        <f>T32*G32</f>
        <v>4900</v>
      </c>
      <c r="Y32" s="129">
        <v>4900</v>
      </c>
      <c r="Z32" s="129">
        <f>T32*I32</f>
        <v>0</v>
      </c>
      <c r="AA32" s="129">
        <v>0</v>
      </c>
      <c r="AB32" s="129">
        <f>T32*K32</f>
        <v>0</v>
      </c>
      <c r="AC32" s="129">
        <v>0</v>
      </c>
      <c r="AD32" s="129">
        <f>T32*M32</f>
        <v>14700</v>
      </c>
      <c r="AE32" s="129">
        <v>14700</v>
      </c>
      <c r="AF32" s="147">
        <f>T32*O32</f>
        <v>4900</v>
      </c>
      <c r="AG32" s="147">
        <v>4900</v>
      </c>
      <c r="AH32" s="129">
        <f>T32*Q32</f>
        <v>0</v>
      </c>
      <c r="AI32" s="129">
        <v>4900</v>
      </c>
      <c r="AJ32" s="129">
        <v>0</v>
      </c>
      <c r="AK32" s="129">
        <f>T32*S32</f>
        <v>0</v>
      </c>
      <c r="AL32" s="129">
        <v>0</v>
      </c>
      <c r="AM32" s="199">
        <f t="shared" si="12"/>
        <v>49000</v>
      </c>
      <c r="AN32" s="147">
        <f t="shared" si="1"/>
        <v>4900</v>
      </c>
      <c r="AO32" s="127">
        <f t="shared" si="11"/>
        <v>24500</v>
      </c>
      <c r="AP32" s="129">
        <f>AM32+AO32</f>
        <v>73500</v>
      </c>
      <c r="AQ32" s="129">
        <f t="shared" si="6"/>
        <v>14700</v>
      </c>
      <c r="AR32" s="129">
        <f t="shared" si="7"/>
        <v>22050</v>
      </c>
      <c r="AS32" s="129">
        <f t="shared" si="8"/>
        <v>17640</v>
      </c>
      <c r="AT32" s="129">
        <f t="shared" si="9"/>
        <v>10584</v>
      </c>
      <c r="AU32" s="209">
        <f t="shared" si="10"/>
        <v>138474</v>
      </c>
      <c r="AV32" s="202">
        <f t="shared" si="2"/>
        <v>980</v>
      </c>
      <c r="AW32" s="153">
        <f t="shared" si="3"/>
        <v>9800</v>
      </c>
      <c r="AX32" s="202">
        <f t="shared" si="4"/>
        <v>4900</v>
      </c>
      <c r="AY32" s="202" t="s">
        <v>140</v>
      </c>
      <c r="AZ32" s="190">
        <v>9517265787</v>
      </c>
      <c r="BA32" s="129">
        <f t="shared" si="0"/>
        <v>89474</v>
      </c>
    </row>
    <row r="33" spans="1:53" s="98" customFormat="1" ht="20.25" customHeight="1" x14ac:dyDescent="0.25">
      <c r="A33" s="222">
        <v>12</v>
      </c>
      <c r="B33" s="178"/>
      <c r="C33" s="166" t="s">
        <v>60</v>
      </c>
      <c r="D33" s="18"/>
      <c r="E33" s="18"/>
      <c r="F33" s="48"/>
      <c r="G33" s="94"/>
      <c r="H33" s="99"/>
      <c r="I33" s="93"/>
      <c r="J33" s="42"/>
      <c r="K33" s="93"/>
      <c r="L33" s="42"/>
      <c r="M33" s="93"/>
      <c r="N33" s="42"/>
      <c r="O33" s="93"/>
      <c r="P33" s="35">
        <v>0</v>
      </c>
      <c r="Q33" s="93"/>
      <c r="R33" s="60"/>
      <c r="S33" s="97"/>
      <c r="T33" s="132"/>
      <c r="U33" s="147"/>
      <c r="V33" s="97"/>
      <c r="W33" s="147"/>
      <c r="X33" s="147"/>
      <c r="Y33" s="147"/>
      <c r="Z33" s="147"/>
      <c r="AA33" s="147"/>
      <c r="AB33" s="147"/>
      <c r="AC33" s="147"/>
      <c r="AD33" s="147"/>
      <c r="AE33" s="147"/>
      <c r="AF33" s="147"/>
      <c r="AG33" s="147"/>
      <c r="AH33" s="147"/>
      <c r="AI33" s="147"/>
      <c r="AJ33" s="147"/>
      <c r="AK33" s="147"/>
      <c r="AL33" s="147"/>
      <c r="AM33" s="199"/>
      <c r="AN33" s="147"/>
      <c r="AO33" s="167"/>
      <c r="AP33" s="147"/>
      <c r="AQ33" s="147"/>
      <c r="AR33" s="147"/>
      <c r="AS33" s="147"/>
      <c r="AT33" s="147"/>
      <c r="AU33" s="209"/>
      <c r="AV33" s="202">
        <f t="shared" si="2"/>
        <v>0</v>
      </c>
      <c r="AW33" s="153">
        <f t="shared" si="3"/>
        <v>0</v>
      </c>
      <c r="AX33" s="202">
        <f t="shared" si="4"/>
        <v>0</v>
      </c>
      <c r="AY33" s="202"/>
      <c r="AZ33" s="94"/>
      <c r="BA33" s="147"/>
    </row>
    <row r="34" spans="1:53" s="98" customFormat="1" ht="29.25" customHeight="1" x14ac:dyDescent="0.25">
      <c r="A34" s="223"/>
      <c r="B34" s="19" t="s">
        <v>26</v>
      </c>
      <c r="C34" s="122" t="s">
        <v>35</v>
      </c>
      <c r="D34" s="11">
        <v>800</v>
      </c>
      <c r="E34" s="11">
        <f>800*5</f>
        <v>4000</v>
      </c>
      <c r="F34" s="48">
        <v>40</v>
      </c>
      <c r="G34" s="94">
        <v>200</v>
      </c>
      <c r="H34" s="48">
        <v>360</v>
      </c>
      <c r="I34" s="93">
        <v>1800</v>
      </c>
      <c r="J34" s="35" t="s">
        <v>77</v>
      </c>
      <c r="K34" s="93">
        <v>0</v>
      </c>
      <c r="L34" s="35">
        <v>400</v>
      </c>
      <c r="M34" s="93">
        <v>2000</v>
      </c>
      <c r="N34" s="35">
        <v>800</v>
      </c>
      <c r="O34" s="93">
        <v>4000</v>
      </c>
      <c r="P34" s="35">
        <v>800</v>
      </c>
      <c r="Q34" s="93">
        <v>4000</v>
      </c>
      <c r="R34" s="55">
        <v>300</v>
      </c>
      <c r="S34" s="97">
        <v>1500</v>
      </c>
      <c r="T34" s="179">
        <v>4</v>
      </c>
      <c r="U34" s="147">
        <f>T34*E34</f>
        <v>16000</v>
      </c>
      <c r="V34" s="97">
        <f t="shared" si="5"/>
        <v>17500</v>
      </c>
      <c r="W34" s="231">
        <f>U34+U35</f>
        <v>17500</v>
      </c>
      <c r="X34" s="147">
        <f>T34*G34</f>
        <v>800</v>
      </c>
      <c r="Y34" s="231">
        <f>X34+X35</f>
        <v>1800</v>
      </c>
      <c r="Z34" s="170">
        <f>T34*I34</f>
        <v>7200</v>
      </c>
      <c r="AA34" s="231">
        <f>Z34</f>
        <v>7200</v>
      </c>
      <c r="AB34" s="147">
        <f>T34*K34</f>
        <v>0</v>
      </c>
      <c r="AC34" s="231">
        <v>0</v>
      </c>
      <c r="AD34" s="147">
        <f>T34*M34</f>
        <v>8000</v>
      </c>
      <c r="AE34" s="231">
        <f>AD34+AD35</f>
        <v>9500</v>
      </c>
      <c r="AF34" s="147">
        <f>T34*O34</f>
        <v>16000</v>
      </c>
      <c r="AG34" s="231">
        <f>AF34+AF35</f>
        <v>28500</v>
      </c>
      <c r="AH34" s="147">
        <f>T34*Q34</f>
        <v>16000</v>
      </c>
      <c r="AI34" s="231">
        <f>AH34+AH35</f>
        <v>17500</v>
      </c>
      <c r="AJ34" s="231">
        <f>AH35+AH34</f>
        <v>17500</v>
      </c>
      <c r="AK34" s="147">
        <f>T34*S34</f>
        <v>6000</v>
      </c>
      <c r="AL34" s="231">
        <f>AK34</f>
        <v>6000</v>
      </c>
      <c r="AM34" s="213">
        <f>AL34+AJ34+AG34+AE34+AA34+Y34+W34</f>
        <v>88000</v>
      </c>
      <c r="AN34" s="147">
        <f t="shared" si="1"/>
        <v>8800</v>
      </c>
      <c r="AO34" s="249">
        <f t="shared" si="11"/>
        <v>44000</v>
      </c>
      <c r="AP34" s="249">
        <f>AM34+AO34</f>
        <v>132000</v>
      </c>
      <c r="AQ34" s="249">
        <f t="shared" si="6"/>
        <v>26400</v>
      </c>
      <c r="AR34" s="249">
        <f t="shared" si="7"/>
        <v>39600</v>
      </c>
      <c r="AS34" s="249">
        <f t="shared" si="8"/>
        <v>31680</v>
      </c>
      <c r="AT34" s="249">
        <f t="shared" si="9"/>
        <v>19008</v>
      </c>
      <c r="AU34" s="258">
        <f t="shared" si="10"/>
        <v>248688</v>
      </c>
      <c r="AV34" s="202">
        <f t="shared" si="2"/>
        <v>1760</v>
      </c>
      <c r="AW34" s="153">
        <f t="shared" si="3"/>
        <v>17600</v>
      </c>
      <c r="AX34" s="202">
        <f t="shared" si="4"/>
        <v>8800</v>
      </c>
      <c r="AY34" s="202">
        <v>20</v>
      </c>
      <c r="AZ34" s="253" t="s">
        <v>121</v>
      </c>
      <c r="BA34" s="231">
        <f t="shared" ref="BA34:BA53" si="13">AU34-AM34</f>
        <v>160688</v>
      </c>
    </row>
    <row r="35" spans="1:53" s="98" customFormat="1" ht="33.75" customHeight="1" x14ac:dyDescent="0.25">
      <c r="A35" s="223"/>
      <c r="B35" s="19" t="s">
        <v>28</v>
      </c>
      <c r="C35" s="121" t="s">
        <v>50</v>
      </c>
      <c r="D35" s="11">
        <v>60</v>
      </c>
      <c r="E35" s="11">
        <f>60*5</f>
        <v>300</v>
      </c>
      <c r="F35" s="48">
        <v>40</v>
      </c>
      <c r="G35" s="94">
        <v>200</v>
      </c>
      <c r="H35" s="48"/>
      <c r="I35" s="93">
        <v>0</v>
      </c>
      <c r="J35" s="35" t="s">
        <v>77</v>
      </c>
      <c r="K35" s="93">
        <v>0</v>
      </c>
      <c r="L35" s="35">
        <v>60</v>
      </c>
      <c r="M35" s="93">
        <v>300</v>
      </c>
      <c r="N35" s="35">
        <v>500</v>
      </c>
      <c r="O35" s="93">
        <v>2500</v>
      </c>
      <c r="P35" s="35">
        <v>60</v>
      </c>
      <c r="Q35" s="93">
        <v>300</v>
      </c>
      <c r="R35" s="55">
        <v>0</v>
      </c>
      <c r="S35" s="97">
        <v>0</v>
      </c>
      <c r="T35" s="180">
        <v>5</v>
      </c>
      <c r="U35" s="147">
        <f>T35*E35</f>
        <v>1500</v>
      </c>
      <c r="V35" s="97">
        <f t="shared" si="5"/>
        <v>3600</v>
      </c>
      <c r="W35" s="232"/>
      <c r="X35" s="147">
        <f>T35*G35</f>
        <v>1000</v>
      </c>
      <c r="Y35" s="232"/>
      <c r="Z35" s="170">
        <f>T35*I35</f>
        <v>0</v>
      </c>
      <c r="AA35" s="232"/>
      <c r="AB35" s="147">
        <f>T35*K35</f>
        <v>0</v>
      </c>
      <c r="AC35" s="232"/>
      <c r="AD35" s="147">
        <f>T35*M35</f>
        <v>1500</v>
      </c>
      <c r="AE35" s="232"/>
      <c r="AF35" s="147">
        <f>T35*O35</f>
        <v>12500</v>
      </c>
      <c r="AG35" s="232"/>
      <c r="AH35" s="147">
        <f>T35*Q35</f>
        <v>1500</v>
      </c>
      <c r="AI35" s="232"/>
      <c r="AJ35" s="232"/>
      <c r="AK35" s="147">
        <f>T35*S35</f>
        <v>0</v>
      </c>
      <c r="AL35" s="232"/>
      <c r="AM35" s="215"/>
      <c r="AN35" s="147">
        <f t="shared" si="1"/>
        <v>0</v>
      </c>
      <c r="AO35" s="217"/>
      <c r="AP35" s="217"/>
      <c r="AQ35" s="217"/>
      <c r="AR35" s="217"/>
      <c r="AS35" s="217"/>
      <c r="AT35" s="217"/>
      <c r="AU35" s="259"/>
      <c r="AV35" s="202">
        <f t="shared" si="2"/>
        <v>0</v>
      </c>
      <c r="AW35" s="153">
        <f t="shared" si="3"/>
        <v>0</v>
      </c>
      <c r="AX35" s="202">
        <f t="shared" si="4"/>
        <v>0</v>
      </c>
      <c r="AY35" s="204"/>
      <c r="AZ35" s="217"/>
      <c r="BA35" s="217"/>
    </row>
    <row r="36" spans="1:53" s="98" customFormat="1" ht="24" customHeight="1" x14ac:dyDescent="0.25">
      <c r="A36" s="224"/>
      <c r="B36" s="20" t="s">
        <v>15</v>
      </c>
      <c r="C36" s="225" t="s">
        <v>51</v>
      </c>
      <c r="D36" s="226"/>
      <c r="E36" s="226"/>
      <c r="F36" s="100"/>
      <c r="G36" s="94"/>
      <c r="H36" s="99"/>
      <c r="I36" s="93"/>
      <c r="J36" s="95"/>
      <c r="K36" s="93"/>
      <c r="L36" s="96"/>
      <c r="M36" s="93"/>
      <c r="N36" s="96"/>
      <c r="O36" s="93"/>
      <c r="P36" s="35"/>
      <c r="Q36" s="93"/>
      <c r="R36" s="101"/>
      <c r="S36" s="97"/>
      <c r="T36" s="132"/>
      <c r="U36" s="129"/>
      <c r="V36" s="77"/>
      <c r="W36" s="129"/>
      <c r="X36" s="129"/>
      <c r="Y36" s="129"/>
      <c r="Z36" s="129"/>
      <c r="AA36" s="129"/>
      <c r="AB36" s="129"/>
      <c r="AC36" s="129"/>
      <c r="AD36" s="129"/>
      <c r="AE36" s="129"/>
      <c r="AF36" s="147"/>
      <c r="AG36" s="147"/>
      <c r="AH36" s="129"/>
      <c r="AI36" s="129"/>
      <c r="AJ36" s="129"/>
      <c r="AK36" s="129"/>
      <c r="AL36" s="129"/>
      <c r="AM36" s="199"/>
      <c r="AN36" s="147">
        <f t="shared" si="1"/>
        <v>0</v>
      </c>
      <c r="AO36" s="127"/>
      <c r="AP36" s="129"/>
      <c r="AQ36" s="129"/>
      <c r="AR36" s="129"/>
      <c r="AS36" s="129"/>
      <c r="AT36" s="129"/>
      <c r="AU36" s="209"/>
      <c r="AV36" s="202">
        <f t="shared" si="2"/>
        <v>0</v>
      </c>
      <c r="AW36" s="153">
        <f t="shared" si="3"/>
        <v>0</v>
      </c>
      <c r="AX36" s="202">
        <f t="shared" si="4"/>
        <v>0</v>
      </c>
      <c r="AY36" s="202"/>
      <c r="AZ36" s="94"/>
      <c r="BA36" s="129"/>
    </row>
    <row r="37" spans="1:53" s="98" customFormat="1" ht="24" customHeight="1" x14ac:dyDescent="0.25">
      <c r="A37" s="216">
        <v>13</v>
      </c>
      <c r="B37" s="29"/>
      <c r="C37" s="123" t="s">
        <v>61</v>
      </c>
      <c r="D37" s="102"/>
      <c r="E37" s="103"/>
      <c r="F37" s="104"/>
      <c r="G37" s="94"/>
      <c r="H37" s="99"/>
      <c r="I37" s="93"/>
      <c r="J37" s="103"/>
      <c r="K37" s="93"/>
      <c r="L37" s="103"/>
      <c r="M37" s="93"/>
      <c r="N37" s="103"/>
      <c r="O37" s="93"/>
      <c r="P37" s="96"/>
      <c r="Q37" s="93"/>
      <c r="R37" s="105"/>
      <c r="S37" s="97"/>
      <c r="T37" s="132"/>
      <c r="U37" s="129"/>
      <c r="V37" s="77"/>
      <c r="W37" s="129"/>
      <c r="X37" s="129"/>
      <c r="Y37" s="129"/>
      <c r="Z37" s="129"/>
      <c r="AA37" s="129"/>
      <c r="AB37" s="129"/>
      <c r="AC37" s="129"/>
      <c r="AD37" s="129"/>
      <c r="AE37" s="129"/>
      <c r="AF37" s="147"/>
      <c r="AG37" s="147"/>
      <c r="AH37" s="129"/>
      <c r="AI37" s="129"/>
      <c r="AJ37" s="129"/>
      <c r="AK37" s="129"/>
      <c r="AL37" s="129"/>
      <c r="AM37" s="199"/>
      <c r="AN37" s="147">
        <f t="shared" si="1"/>
        <v>0</v>
      </c>
      <c r="AO37" s="127"/>
      <c r="AP37" s="129"/>
      <c r="AQ37" s="129"/>
      <c r="AR37" s="129"/>
      <c r="AS37" s="129"/>
      <c r="AT37" s="129"/>
      <c r="AU37" s="209"/>
      <c r="AV37" s="202">
        <f t="shared" si="2"/>
        <v>0</v>
      </c>
      <c r="AW37" s="153">
        <f t="shared" si="3"/>
        <v>0</v>
      </c>
      <c r="AX37" s="202">
        <f t="shared" si="4"/>
        <v>0</v>
      </c>
      <c r="AY37" s="202"/>
      <c r="AZ37" s="94"/>
      <c r="BA37" s="129"/>
    </row>
    <row r="38" spans="1:53" s="98" customFormat="1" ht="24" customHeight="1" x14ac:dyDescent="0.25">
      <c r="A38" s="227"/>
      <c r="B38" s="14" t="s">
        <v>26</v>
      </c>
      <c r="C38" s="121" t="s">
        <v>39</v>
      </c>
      <c r="D38" s="18">
        <v>200</v>
      </c>
      <c r="E38" s="11">
        <f>200*5</f>
        <v>1000</v>
      </c>
      <c r="F38" s="54"/>
      <c r="G38" s="94">
        <v>0</v>
      </c>
      <c r="H38" s="99"/>
      <c r="I38" s="93">
        <v>0</v>
      </c>
      <c r="J38" s="34" t="s">
        <v>77</v>
      </c>
      <c r="K38" s="93">
        <v>0</v>
      </c>
      <c r="L38" s="43">
        <v>100</v>
      </c>
      <c r="M38" s="93">
        <v>500</v>
      </c>
      <c r="N38" s="43"/>
      <c r="O38" s="93">
        <v>0</v>
      </c>
      <c r="P38" s="103"/>
      <c r="Q38" s="93">
        <v>0</v>
      </c>
      <c r="R38" s="62">
        <v>360</v>
      </c>
      <c r="S38" s="97">
        <v>1800</v>
      </c>
      <c r="T38" s="180">
        <v>22</v>
      </c>
      <c r="U38" s="129">
        <f>T38*E38</f>
        <v>22000</v>
      </c>
      <c r="V38" s="77">
        <f t="shared" si="5"/>
        <v>3300</v>
      </c>
      <c r="W38" s="229">
        <f>U38+U39+U40+U41</f>
        <v>88000</v>
      </c>
      <c r="X38" s="129">
        <f>T38*G38</f>
        <v>0</v>
      </c>
      <c r="Y38" s="229">
        <v>0</v>
      </c>
      <c r="Z38" s="129">
        <f>T38*I38</f>
        <v>0</v>
      </c>
      <c r="AA38" s="229">
        <v>0</v>
      </c>
      <c r="AB38" s="129">
        <f>T38*K38</f>
        <v>0</v>
      </c>
      <c r="AC38" s="229">
        <v>0</v>
      </c>
      <c r="AD38" s="129">
        <f>T38*M38</f>
        <v>11000</v>
      </c>
      <c r="AE38" s="229">
        <f>AD38+AD39+AD40+AD41</f>
        <v>44000</v>
      </c>
      <c r="AF38" s="147">
        <f>T38*O38</f>
        <v>0</v>
      </c>
      <c r="AG38" s="231">
        <f>AF39+AF41</f>
        <v>38500</v>
      </c>
      <c r="AH38" s="129">
        <f>T38*Q38</f>
        <v>0</v>
      </c>
      <c r="AI38" s="229">
        <v>76000</v>
      </c>
      <c r="AJ38" s="229">
        <v>0</v>
      </c>
      <c r="AK38" s="129">
        <f>T38*S38</f>
        <v>39600</v>
      </c>
      <c r="AL38" s="229">
        <v>39600</v>
      </c>
      <c r="AM38" s="213">
        <f t="shared" ref="AM38:AM43" si="14">AL38+AJ38+AI38+AE38+AC38+AA38+Y38+W38</f>
        <v>247600</v>
      </c>
      <c r="AN38" s="147">
        <f t="shared" si="1"/>
        <v>24760</v>
      </c>
      <c r="AO38" s="247">
        <f t="shared" si="11"/>
        <v>123800</v>
      </c>
      <c r="AP38" s="229">
        <f>AM38+AO38</f>
        <v>371400</v>
      </c>
      <c r="AQ38" s="229">
        <f t="shared" si="6"/>
        <v>74280</v>
      </c>
      <c r="AR38" s="229">
        <f t="shared" si="7"/>
        <v>111420</v>
      </c>
      <c r="AS38" s="229">
        <f t="shared" si="8"/>
        <v>89136</v>
      </c>
      <c r="AT38" s="229">
        <f t="shared" si="9"/>
        <v>53481.600000000006</v>
      </c>
      <c r="AU38" s="254">
        <f t="shared" si="10"/>
        <v>699717.6</v>
      </c>
      <c r="AV38" s="213">
        <f t="shared" si="2"/>
        <v>4952</v>
      </c>
      <c r="AW38" s="229">
        <f t="shared" si="3"/>
        <v>49520</v>
      </c>
      <c r="AX38" s="213">
        <f t="shared" si="4"/>
        <v>24760</v>
      </c>
      <c r="AY38" s="213">
        <v>70</v>
      </c>
      <c r="AZ38" s="256" t="s">
        <v>122</v>
      </c>
      <c r="BA38" s="229">
        <f t="shared" si="13"/>
        <v>452117.6</v>
      </c>
    </row>
    <row r="39" spans="1:53" s="98" customFormat="1" ht="33" customHeight="1" x14ac:dyDescent="0.25">
      <c r="A39" s="227"/>
      <c r="B39" s="14" t="s">
        <v>28</v>
      </c>
      <c r="C39" s="121" t="s">
        <v>40</v>
      </c>
      <c r="D39" s="18">
        <v>200</v>
      </c>
      <c r="E39" s="11">
        <f>200*5</f>
        <v>1000</v>
      </c>
      <c r="F39" s="54"/>
      <c r="G39" s="94">
        <v>0</v>
      </c>
      <c r="H39" s="99"/>
      <c r="I39" s="93">
        <v>0</v>
      </c>
      <c r="J39" s="34" t="s">
        <v>77</v>
      </c>
      <c r="K39" s="93">
        <v>0</v>
      </c>
      <c r="L39" s="43">
        <v>100</v>
      </c>
      <c r="M39" s="93">
        <v>500</v>
      </c>
      <c r="N39" s="43">
        <v>50</v>
      </c>
      <c r="O39" s="93">
        <v>250</v>
      </c>
      <c r="P39" s="43"/>
      <c r="Q39" s="93">
        <v>0</v>
      </c>
      <c r="R39" s="57">
        <v>0</v>
      </c>
      <c r="S39" s="97">
        <v>0</v>
      </c>
      <c r="T39" s="180">
        <v>22</v>
      </c>
      <c r="U39" s="129">
        <f>T39*E39</f>
        <v>22000</v>
      </c>
      <c r="V39" s="77">
        <f t="shared" si="5"/>
        <v>1750</v>
      </c>
      <c r="W39" s="230"/>
      <c r="X39" s="129">
        <f>T39*G39</f>
        <v>0</v>
      </c>
      <c r="Y39" s="230"/>
      <c r="Z39" s="129">
        <f>T39*I39</f>
        <v>0</v>
      </c>
      <c r="AA39" s="230"/>
      <c r="AB39" s="129">
        <f>T39*K39</f>
        <v>0</v>
      </c>
      <c r="AC39" s="230"/>
      <c r="AD39" s="129">
        <f>T39*M39</f>
        <v>11000</v>
      </c>
      <c r="AE39" s="230"/>
      <c r="AF39" s="147">
        <f>T39*O39</f>
        <v>5500</v>
      </c>
      <c r="AG39" s="242"/>
      <c r="AH39" s="129">
        <f>T39*Q39</f>
        <v>0</v>
      </c>
      <c r="AI39" s="230"/>
      <c r="AJ39" s="230"/>
      <c r="AK39" s="129">
        <f>T39*S39</f>
        <v>0</v>
      </c>
      <c r="AL39" s="230"/>
      <c r="AM39" s="246"/>
      <c r="AN39" s="147"/>
      <c r="AO39" s="248"/>
      <c r="AP39" s="248"/>
      <c r="AQ39" s="248"/>
      <c r="AR39" s="248"/>
      <c r="AS39" s="248"/>
      <c r="AT39" s="248"/>
      <c r="AU39" s="255"/>
      <c r="AV39" s="214"/>
      <c r="AW39" s="230"/>
      <c r="AX39" s="214"/>
      <c r="AY39" s="214"/>
      <c r="AZ39" s="257"/>
      <c r="BA39" s="248"/>
    </row>
    <row r="40" spans="1:53" s="98" customFormat="1" ht="24" customHeight="1" x14ac:dyDescent="0.25">
      <c r="A40" s="227"/>
      <c r="B40" s="14" t="s">
        <v>30</v>
      </c>
      <c r="C40" s="121" t="s">
        <v>41</v>
      </c>
      <c r="D40" s="11">
        <v>200</v>
      </c>
      <c r="E40" s="11">
        <f t="shared" ref="E40:E41" si="15">200*5</f>
        <v>1000</v>
      </c>
      <c r="F40" s="54"/>
      <c r="G40" s="94">
        <v>0</v>
      </c>
      <c r="H40" s="99"/>
      <c r="I40" s="93">
        <v>0</v>
      </c>
      <c r="J40" s="34" t="s">
        <v>77</v>
      </c>
      <c r="K40" s="93">
        <v>0</v>
      </c>
      <c r="L40" s="44">
        <v>100</v>
      </c>
      <c r="M40" s="93">
        <v>500</v>
      </c>
      <c r="N40" s="44"/>
      <c r="O40" s="93">
        <v>0</v>
      </c>
      <c r="P40" s="43"/>
      <c r="Q40" s="93">
        <v>0</v>
      </c>
      <c r="R40" s="63">
        <v>0</v>
      </c>
      <c r="S40" s="97">
        <v>0</v>
      </c>
      <c r="T40" s="180">
        <v>22</v>
      </c>
      <c r="U40" s="129">
        <f>T40*E40</f>
        <v>22000</v>
      </c>
      <c r="V40" s="77">
        <f t="shared" si="5"/>
        <v>1500</v>
      </c>
      <c r="W40" s="230"/>
      <c r="X40" s="129">
        <f>T40*G40</f>
        <v>0</v>
      </c>
      <c r="Y40" s="230"/>
      <c r="Z40" s="129">
        <f>T40*I40</f>
        <v>0</v>
      </c>
      <c r="AA40" s="230"/>
      <c r="AB40" s="129">
        <f>T40*K40</f>
        <v>0</v>
      </c>
      <c r="AC40" s="230"/>
      <c r="AD40" s="129">
        <f>T40*M40</f>
        <v>11000</v>
      </c>
      <c r="AE40" s="230"/>
      <c r="AF40" s="147">
        <f>T40*O40</f>
        <v>0</v>
      </c>
      <c r="AG40" s="242"/>
      <c r="AH40" s="129">
        <f>T40*Q40</f>
        <v>0</v>
      </c>
      <c r="AI40" s="230"/>
      <c r="AJ40" s="230"/>
      <c r="AK40" s="129">
        <f>T40*S40</f>
        <v>0</v>
      </c>
      <c r="AL40" s="230"/>
      <c r="AM40" s="246"/>
      <c r="AN40" s="147"/>
      <c r="AO40" s="248"/>
      <c r="AP40" s="248"/>
      <c r="AQ40" s="248"/>
      <c r="AR40" s="248"/>
      <c r="AS40" s="248"/>
      <c r="AT40" s="248"/>
      <c r="AU40" s="255"/>
      <c r="AV40" s="214"/>
      <c r="AW40" s="230"/>
      <c r="AX40" s="214"/>
      <c r="AY40" s="214"/>
      <c r="AZ40" s="257"/>
      <c r="BA40" s="248"/>
    </row>
    <row r="41" spans="1:53" s="98" customFormat="1" ht="37.5" customHeight="1" x14ac:dyDescent="0.25">
      <c r="A41" s="228"/>
      <c r="B41" s="14" t="s">
        <v>37</v>
      </c>
      <c r="C41" s="121" t="s">
        <v>42</v>
      </c>
      <c r="D41" s="11">
        <v>200</v>
      </c>
      <c r="E41" s="11">
        <f t="shared" si="15"/>
        <v>1000</v>
      </c>
      <c r="F41" s="54"/>
      <c r="G41" s="94">
        <v>0</v>
      </c>
      <c r="H41" s="99"/>
      <c r="I41" s="93">
        <v>0</v>
      </c>
      <c r="J41" s="34" t="s">
        <v>77</v>
      </c>
      <c r="K41" s="93">
        <v>0</v>
      </c>
      <c r="L41" s="44">
        <v>100</v>
      </c>
      <c r="M41" s="93">
        <v>500</v>
      </c>
      <c r="N41" s="44">
        <v>300</v>
      </c>
      <c r="O41" s="93">
        <v>1500</v>
      </c>
      <c r="P41" s="44"/>
      <c r="Q41" s="93">
        <v>0</v>
      </c>
      <c r="R41" s="63">
        <v>0</v>
      </c>
      <c r="S41" s="97">
        <v>0</v>
      </c>
      <c r="T41" s="180">
        <v>22</v>
      </c>
      <c r="U41" s="129">
        <f>T41*E41</f>
        <v>22000</v>
      </c>
      <c r="V41" s="77">
        <f t="shared" si="5"/>
        <v>3000</v>
      </c>
      <c r="W41" s="230"/>
      <c r="X41" s="129">
        <f>T41*G41</f>
        <v>0</v>
      </c>
      <c r="Y41" s="230"/>
      <c r="Z41" s="129">
        <f>T41*I41</f>
        <v>0</v>
      </c>
      <c r="AA41" s="230"/>
      <c r="AB41" s="129">
        <f>T41*K41</f>
        <v>0</v>
      </c>
      <c r="AC41" s="230"/>
      <c r="AD41" s="129">
        <f>T41*M41</f>
        <v>11000</v>
      </c>
      <c r="AE41" s="230"/>
      <c r="AF41" s="147">
        <f>T41*O41</f>
        <v>33000</v>
      </c>
      <c r="AG41" s="242"/>
      <c r="AH41" s="129">
        <f>T41*Q41</f>
        <v>0</v>
      </c>
      <c r="AI41" s="230"/>
      <c r="AJ41" s="230"/>
      <c r="AK41" s="129">
        <f>T41*S41</f>
        <v>0</v>
      </c>
      <c r="AL41" s="230"/>
      <c r="AM41" s="246"/>
      <c r="AN41" s="147"/>
      <c r="AO41" s="248"/>
      <c r="AP41" s="248"/>
      <c r="AQ41" s="248"/>
      <c r="AR41" s="248"/>
      <c r="AS41" s="248"/>
      <c r="AT41" s="248"/>
      <c r="AU41" s="255"/>
      <c r="AV41" s="215"/>
      <c r="AW41" s="250"/>
      <c r="AX41" s="215"/>
      <c r="AY41" s="215"/>
      <c r="AZ41" s="257"/>
      <c r="BA41" s="248"/>
    </row>
    <row r="42" spans="1:53" s="98" customFormat="1" ht="19.5" customHeight="1" x14ac:dyDescent="0.25">
      <c r="A42" s="216">
        <v>14</v>
      </c>
      <c r="B42" s="14"/>
      <c r="C42" s="123" t="s">
        <v>67</v>
      </c>
      <c r="D42" s="11"/>
      <c r="E42" s="28"/>
      <c r="F42" s="54"/>
      <c r="G42" s="94"/>
      <c r="H42" s="99"/>
      <c r="I42" s="93"/>
      <c r="J42" s="44"/>
      <c r="K42" s="93"/>
      <c r="L42" s="44"/>
      <c r="M42" s="93"/>
      <c r="N42" s="44"/>
      <c r="O42" s="93"/>
      <c r="P42" s="44"/>
      <c r="Q42" s="93"/>
      <c r="R42" s="63"/>
      <c r="S42" s="97"/>
      <c r="T42" s="132"/>
      <c r="U42" s="147"/>
      <c r="V42" s="97"/>
      <c r="W42" s="147"/>
      <c r="X42" s="147"/>
      <c r="Y42" s="147"/>
      <c r="Z42" s="147"/>
      <c r="AA42" s="147"/>
      <c r="AB42" s="147"/>
      <c r="AC42" s="147"/>
      <c r="AD42" s="147"/>
      <c r="AE42" s="147"/>
      <c r="AF42" s="147"/>
      <c r="AG42" s="147"/>
      <c r="AH42" s="147"/>
      <c r="AI42" s="147"/>
      <c r="AJ42" s="147"/>
      <c r="AK42" s="147"/>
      <c r="AL42" s="147"/>
      <c r="AM42" s="199"/>
      <c r="AN42" s="147"/>
      <c r="AO42" s="167"/>
      <c r="AP42" s="147"/>
      <c r="AQ42" s="147"/>
      <c r="AR42" s="147"/>
      <c r="AS42" s="147"/>
      <c r="AT42" s="147"/>
      <c r="AU42" s="209"/>
      <c r="AV42" s="202">
        <f t="shared" si="2"/>
        <v>0</v>
      </c>
      <c r="AW42" s="153">
        <f t="shared" si="3"/>
        <v>0</v>
      </c>
      <c r="AX42" s="202">
        <f t="shared" si="4"/>
        <v>0</v>
      </c>
      <c r="AY42" s="202"/>
      <c r="AZ42" s="94"/>
      <c r="BA42" s="147"/>
    </row>
    <row r="43" spans="1:53" s="98" customFormat="1" ht="60.75" customHeight="1" x14ac:dyDescent="0.25">
      <c r="A43" s="217"/>
      <c r="B43" s="29" t="s">
        <v>15</v>
      </c>
      <c r="C43" s="124" t="s">
        <v>45</v>
      </c>
      <c r="D43" s="21">
        <v>100</v>
      </c>
      <c r="E43" s="21">
        <f>D43*5</f>
        <v>500</v>
      </c>
      <c r="F43" s="48">
        <v>280</v>
      </c>
      <c r="G43" s="94">
        <v>1400</v>
      </c>
      <c r="H43" s="48"/>
      <c r="I43" s="93">
        <v>0</v>
      </c>
      <c r="J43" s="34" t="s">
        <v>77</v>
      </c>
      <c r="K43" s="93">
        <v>0</v>
      </c>
      <c r="L43" s="45">
        <v>50</v>
      </c>
      <c r="M43" s="93">
        <v>250</v>
      </c>
      <c r="N43" s="45">
        <v>100</v>
      </c>
      <c r="O43" s="93">
        <v>500</v>
      </c>
      <c r="P43" s="44"/>
      <c r="Q43" s="93">
        <v>0</v>
      </c>
      <c r="R43" s="64">
        <v>0</v>
      </c>
      <c r="S43" s="97">
        <v>0</v>
      </c>
      <c r="T43" s="180">
        <v>16</v>
      </c>
      <c r="U43" s="129">
        <f>T43*E43</f>
        <v>8000</v>
      </c>
      <c r="V43" s="77">
        <f t="shared" si="5"/>
        <v>2650</v>
      </c>
      <c r="W43" s="129">
        <v>8000</v>
      </c>
      <c r="X43" s="129">
        <f>T43*G43</f>
        <v>22400</v>
      </c>
      <c r="Y43" s="129">
        <v>22400</v>
      </c>
      <c r="Z43" s="129">
        <f>T43*I43</f>
        <v>0</v>
      </c>
      <c r="AA43" s="129">
        <v>0</v>
      </c>
      <c r="AB43" s="129">
        <f>T43*K43</f>
        <v>0</v>
      </c>
      <c r="AC43" s="129">
        <v>0</v>
      </c>
      <c r="AD43" s="129">
        <f>T43*M43</f>
        <v>4000</v>
      </c>
      <c r="AE43" s="129">
        <v>4000</v>
      </c>
      <c r="AF43" s="147">
        <f>T43*O43</f>
        <v>8000</v>
      </c>
      <c r="AG43" s="147">
        <v>8000</v>
      </c>
      <c r="AH43" s="129">
        <f>T43*Q43</f>
        <v>0</v>
      </c>
      <c r="AI43" s="129">
        <v>8000</v>
      </c>
      <c r="AJ43" s="129">
        <v>0</v>
      </c>
      <c r="AK43" s="129">
        <f>T43*S43</f>
        <v>0</v>
      </c>
      <c r="AL43" s="129">
        <v>0</v>
      </c>
      <c r="AM43" s="199">
        <f t="shared" si="14"/>
        <v>42400</v>
      </c>
      <c r="AN43" s="147">
        <f t="shared" si="1"/>
        <v>4240</v>
      </c>
      <c r="AO43" s="127">
        <f t="shared" si="11"/>
        <v>21200</v>
      </c>
      <c r="AP43" s="129">
        <f>AM43+AO43</f>
        <v>63600</v>
      </c>
      <c r="AQ43" s="129">
        <f t="shared" si="6"/>
        <v>12720</v>
      </c>
      <c r="AR43" s="129">
        <f t="shared" si="7"/>
        <v>19080</v>
      </c>
      <c r="AS43" s="129">
        <f t="shared" si="8"/>
        <v>15264</v>
      </c>
      <c r="AT43" s="129">
        <f t="shared" si="9"/>
        <v>9158.4000000000015</v>
      </c>
      <c r="AU43" s="209">
        <f t="shared" si="10"/>
        <v>119822.39999999999</v>
      </c>
      <c r="AV43" s="202">
        <f t="shared" si="2"/>
        <v>848</v>
      </c>
      <c r="AW43" s="153">
        <f t="shared" si="3"/>
        <v>8480</v>
      </c>
      <c r="AX43" s="202">
        <f t="shared" si="4"/>
        <v>4240</v>
      </c>
      <c r="AY43" s="202" t="s">
        <v>140</v>
      </c>
      <c r="AZ43" s="190" t="s">
        <v>123</v>
      </c>
      <c r="BA43" s="129">
        <f t="shared" si="13"/>
        <v>77422.399999999994</v>
      </c>
    </row>
    <row r="44" spans="1:53" s="98" customFormat="1" ht="21" customHeight="1" x14ac:dyDescent="0.25">
      <c r="A44" s="263">
        <v>15</v>
      </c>
      <c r="B44" s="178"/>
      <c r="C44" s="123" t="s">
        <v>68</v>
      </c>
      <c r="D44" s="21"/>
      <c r="E44" s="21"/>
      <c r="F44" s="48"/>
      <c r="G44" s="94"/>
      <c r="H44" s="99"/>
      <c r="I44" s="93"/>
      <c r="J44" s="45"/>
      <c r="K44" s="93"/>
      <c r="L44" s="45"/>
      <c r="M44" s="93"/>
      <c r="N44" s="45"/>
      <c r="O44" s="93"/>
      <c r="P44" s="45"/>
      <c r="Q44" s="93"/>
      <c r="R44" s="64"/>
      <c r="S44" s="97"/>
      <c r="T44" s="132"/>
      <c r="U44" s="147"/>
      <c r="V44" s="97"/>
      <c r="W44" s="147"/>
      <c r="X44" s="147"/>
      <c r="Y44" s="147"/>
      <c r="Z44" s="147"/>
      <c r="AA44" s="147"/>
      <c r="AB44" s="147"/>
      <c r="AC44" s="147"/>
      <c r="AD44" s="147"/>
      <c r="AE44" s="147"/>
      <c r="AF44" s="147"/>
      <c r="AG44" s="147"/>
      <c r="AH44" s="147"/>
      <c r="AI44" s="147"/>
      <c r="AJ44" s="147"/>
      <c r="AK44" s="147"/>
      <c r="AL44" s="147"/>
      <c r="AM44" s="199"/>
      <c r="AN44" s="147"/>
      <c r="AO44" s="167"/>
      <c r="AP44" s="147"/>
      <c r="AQ44" s="147"/>
      <c r="AR44" s="147"/>
      <c r="AS44" s="147"/>
      <c r="AT44" s="147"/>
      <c r="AU44" s="209"/>
      <c r="AV44" s="202">
        <f t="shared" si="2"/>
        <v>0</v>
      </c>
      <c r="AW44" s="153">
        <f t="shared" si="3"/>
        <v>0</v>
      </c>
      <c r="AX44" s="202">
        <f t="shared" si="4"/>
        <v>0</v>
      </c>
      <c r="AY44" s="202"/>
      <c r="AZ44" s="94"/>
      <c r="BA44" s="147"/>
    </row>
    <row r="45" spans="1:53" s="92" customFormat="1" ht="47.25" customHeight="1" x14ac:dyDescent="0.25">
      <c r="A45" s="248"/>
      <c r="B45" s="172" t="s">
        <v>26</v>
      </c>
      <c r="C45" s="173" t="s">
        <v>46</v>
      </c>
      <c r="D45" s="12">
        <v>20</v>
      </c>
      <c r="E45" s="12">
        <f>20*5</f>
        <v>100</v>
      </c>
      <c r="F45" s="49">
        <v>20</v>
      </c>
      <c r="G45" s="87">
        <v>100</v>
      </c>
      <c r="H45" s="49"/>
      <c r="I45" s="89">
        <v>0</v>
      </c>
      <c r="J45" s="174" t="s">
        <v>77</v>
      </c>
      <c r="K45" s="89">
        <v>0</v>
      </c>
      <c r="L45" s="36">
        <v>10</v>
      </c>
      <c r="M45" s="89">
        <v>50</v>
      </c>
      <c r="N45" s="36"/>
      <c r="O45" s="89">
        <v>0</v>
      </c>
      <c r="P45" s="36">
        <v>10</v>
      </c>
      <c r="Q45" s="89">
        <v>50</v>
      </c>
      <c r="R45" s="56">
        <v>40</v>
      </c>
      <c r="S45" s="91">
        <v>200</v>
      </c>
      <c r="T45" s="181">
        <v>83</v>
      </c>
      <c r="U45" s="175">
        <f>T45*E45</f>
        <v>8300</v>
      </c>
      <c r="V45" s="176">
        <f t="shared" si="5"/>
        <v>500</v>
      </c>
      <c r="W45" s="240">
        <f>U45+U46</f>
        <v>14300</v>
      </c>
      <c r="X45" s="175">
        <f>T45*G45</f>
        <v>8300</v>
      </c>
      <c r="Y45" s="240">
        <f>X45+X46</f>
        <v>17300</v>
      </c>
      <c r="Z45" s="175">
        <f>T45*I45</f>
        <v>0</v>
      </c>
      <c r="AA45" s="240">
        <v>0</v>
      </c>
      <c r="AB45" s="175">
        <f>T45*K45</f>
        <v>0</v>
      </c>
      <c r="AC45" s="240">
        <v>0</v>
      </c>
      <c r="AD45" s="175">
        <f>T45*M45</f>
        <v>4150</v>
      </c>
      <c r="AE45" s="240">
        <f>AD45+AD46</f>
        <v>7150</v>
      </c>
      <c r="AF45" s="177">
        <f>T45*O45</f>
        <v>0</v>
      </c>
      <c r="AG45" s="243">
        <v>0</v>
      </c>
      <c r="AH45" s="175">
        <f>T45*Q45</f>
        <v>4150</v>
      </c>
      <c r="AI45" s="240">
        <f>AH45+AH46</f>
        <v>7150</v>
      </c>
      <c r="AJ45" s="240">
        <f>AH45+AH46</f>
        <v>7150</v>
      </c>
      <c r="AK45" s="175">
        <f>T45*S45</f>
        <v>16600</v>
      </c>
      <c r="AL45" s="240">
        <f>AK45+AK46</f>
        <v>34600</v>
      </c>
      <c r="AM45" s="260">
        <f>AL45+AJ45+AE45+Y45+W45</f>
        <v>80500</v>
      </c>
      <c r="AN45" s="177">
        <f t="shared" si="1"/>
        <v>8050</v>
      </c>
      <c r="AO45" s="249">
        <f t="shared" si="11"/>
        <v>40250</v>
      </c>
      <c r="AP45" s="249">
        <f>AM45+AO45</f>
        <v>120750</v>
      </c>
      <c r="AQ45" s="249">
        <f t="shared" si="6"/>
        <v>24150</v>
      </c>
      <c r="AR45" s="249">
        <f t="shared" si="7"/>
        <v>36225</v>
      </c>
      <c r="AS45" s="249">
        <f t="shared" si="8"/>
        <v>28980</v>
      </c>
      <c r="AT45" s="249">
        <f t="shared" si="9"/>
        <v>17388</v>
      </c>
      <c r="AU45" s="258">
        <f t="shared" si="10"/>
        <v>227493</v>
      </c>
      <c r="AV45" s="202">
        <f t="shared" si="2"/>
        <v>1610</v>
      </c>
      <c r="AW45" s="153">
        <f t="shared" si="3"/>
        <v>16100</v>
      </c>
      <c r="AX45" s="202">
        <f t="shared" si="4"/>
        <v>8050</v>
      </c>
      <c r="AY45" s="202">
        <v>20</v>
      </c>
      <c r="AZ45" s="262">
        <v>9517437578</v>
      </c>
      <c r="BA45" s="240">
        <f t="shared" si="13"/>
        <v>146993</v>
      </c>
    </row>
    <row r="46" spans="1:53" s="92" customFormat="1" ht="50.25" customHeight="1" x14ac:dyDescent="0.25">
      <c r="A46" s="217"/>
      <c r="B46" s="172" t="s">
        <v>28</v>
      </c>
      <c r="C46" s="173" t="s">
        <v>47</v>
      </c>
      <c r="D46" s="12">
        <v>20</v>
      </c>
      <c r="E46" s="12">
        <f>20*5</f>
        <v>100</v>
      </c>
      <c r="F46" s="49">
        <v>30</v>
      </c>
      <c r="G46" s="87">
        <v>150</v>
      </c>
      <c r="H46" s="49"/>
      <c r="I46" s="89">
        <v>0</v>
      </c>
      <c r="J46" s="174" t="s">
        <v>77</v>
      </c>
      <c r="K46" s="89">
        <v>0</v>
      </c>
      <c r="L46" s="36">
        <v>10</v>
      </c>
      <c r="M46" s="89">
        <v>50</v>
      </c>
      <c r="N46" s="36"/>
      <c r="O46" s="89">
        <v>0</v>
      </c>
      <c r="P46" s="36">
        <v>10</v>
      </c>
      <c r="Q46" s="89">
        <v>50</v>
      </c>
      <c r="R46" s="56">
        <v>60</v>
      </c>
      <c r="S46" s="91">
        <v>300</v>
      </c>
      <c r="T46" s="181">
        <v>60</v>
      </c>
      <c r="U46" s="175">
        <f>T46*E46</f>
        <v>6000</v>
      </c>
      <c r="V46" s="176">
        <f t="shared" si="5"/>
        <v>650</v>
      </c>
      <c r="W46" s="241"/>
      <c r="X46" s="175">
        <f>T46*G46</f>
        <v>9000</v>
      </c>
      <c r="Y46" s="241"/>
      <c r="Z46" s="175">
        <f>T46*I46</f>
        <v>0</v>
      </c>
      <c r="AA46" s="241"/>
      <c r="AB46" s="175">
        <f>T46*K46</f>
        <v>0</v>
      </c>
      <c r="AC46" s="241"/>
      <c r="AD46" s="175">
        <f>T46*M46</f>
        <v>3000</v>
      </c>
      <c r="AE46" s="241"/>
      <c r="AF46" s="177">
        <f>T46*O46</f>
        <v>0</v>
      </c>
      <c r="AG46" s="244"/>
      <c r="AH46" s="175">
        <f>T46*Q46</f>
        <v>3000</v>
      </c>
      <c r="AI46" s="241"/>
      <c r="AJ46" s="241"/>
      <c r="AK46" s="175">
        <f>T46*S46</f>
        <v>18000</v>
      </c>
      <c r="AL46" s="241"/>
      <c r="AM46" s="261"/>
      <c r="AN46" s="177"/>
      <c r="AO46" s="217"/>
      <c r="AP46" s="217"/>
      <c r="AQ46" s="217"/>
      <c r="AR46" s="217"/>
      <c r="AS46" s="217"/>
      <c r="AT46" s="217"/>
      <c r="AU46" s="259"/>
      <c r="AV46" s="202">
        <f t="shared" si="2"/>
        <v>0</v>
      </c>
      <c r="AW46" s="153">
        <f t="shared" si="3"/>
        <v>0</v>
      </c>
      <c r="AX46" s="202">
        <f t="shared" si="4"/>
        <v>0</v>
      </c>
      <c r="AY46" s="204"/>
      <c r="AZ46" s="217"/>
      <c r="BA46" s="217"/>
    </row>
    <row r="47" spans="1:53" s="98" customFormat="1" ht="26.25" customHeight="1" x14ac:dyDescent="0.25">
      <c r="A47" s="216">
        <v>16</v>
      </c>
      <c r="B47" s="14"/>
      <c r="C47" s="123" t="s">
        <v>69</v>
      </c>
      <c r="D47" s="11"/>
      <c r="E47" s="11"/>
      <c r="F47" s="48"/>
      <c r="G47" s="94"/>
      <c r="H47" s="99"/>
      <c r="I47" s="93"/>
      <c r="J47" s="35"/>
      <c r="K47" s="93"/>
      <c r="L47" s="35"/>
      <c r="M47" s="93"/>
      <c r="N47" s="35"/>
      <c r="O47" s="93"/>
      <c r="Q47" s="93"/>
      <c r="R47" s="55"/>
      <c r="S47" s="97">
        <v>0</v>
      </c>
      <c r="T47" s="132"/>
      <c r="U47" s="147"/>
      <c r="V47" s="97"/>
      <c r="W47" s="147"/>
      <c r="X47" s="147"/>
      <c r="Y47" s="147"/>
      <c r="Z47" s="147"/>
      <c r="AA47" s="147"/>
      <c r="AB47" s="147"/>
      <c r="AC47" s="147"/>
      <c r="AD47" s="147"/>
      <c r="AE47" s="147"/>
      <c r="AF47" s="147"/>
      <c r="AG47" s="147"/>
      <c r="AH47" s="147"/>
      <c r="AI47" s="147"/>
      <c r="AJ47" s="147"/>
      <c r="AK47" s="147"/>
      <c r="AL47" s="147"/>
      <c r="AM47" s="199"/>
      <c r="AN47" s="147">
        <f t="shared" si="1"/>
        <v>0</v>
      </c>
      <c r="AO47" s="167"/>
      <c r="AP47" s="147"/>
      <c r="AQ47" s="147"/>
      <c r="AR47" s="147"/>
      <c r="AS47" s="147"/>
      <c r="AT47" s="147"/>
      <c r="AU47" s="209"/>
      <c r="AV47" s="202">
        <f t="shared" si="2"/>
        <v>0</v>
      </c>
      <c r="AW47" s="153">
        <f t="shared" si="3"/>
        <v>0</v>
      </c>
      <c r="AX47" s="202">
        <f t="shared" si="4"/>
        <v>0</v>
      </c>
      <c r="AY47" s="202"/>
      <c r="AZ47" s="94"/>
      <c r="BA47" s="147"/>
    </row>
    <row r="48" spans="1:53" s="98" customFormat="1" ht="29.25" customHeight="1" x14ac:dyDescent="0.25">
      <c r="A48" s="217"/>
      <c r="B48" s="29" t="s">
        <v>15</v>
      </c>
      <c r="C48" s="121" t="s">
        <v>48</v>
      </c>
      <c r="D48" s="11">
        <v>150</v>
      </c>
      <c r="E48" s="11">
        <f>D48*5</f>
        <v>750</v>
      </c>
      <c r="F48" s="48">
        <v>60</v>
      </c>
      <c r="G48" s="94">
        <v>300</v>
      </c>
      <c r="H48" s="48">
        <v>50</v>
      </c>
      <c r="I48" s="93">
        <v>250</v>
      </c>
      <c r="J48" s="34" t="s">
        <v>77</v>
      </c>
      <c r="K48" s="93">
        <v>0</v>
      </c>
      <c r="L48" s="35">
        <v>150</v>
      </c>
      <c r="M48" s="93">
        <v>750</v>
      </c>
      <c r="N48" s="35">
        <v>150</v>
      </c>
      <c r="O48" s="93">
        <v>750</v>
      </c>
      <c r="P48" s="35">
        <v>150</v>
      </c>
      <c r="Q48" s="93">
        <v>750</v>
      </c>
      <c r="R48" s="55">
        <v>250</v>
      </c>
      <c r="S48" s="97">
        <v>1250</v>
      </c>
      <c r="T48" s="180">
        <v>13</v>
      </c>
      <c r="U48" s="129">
        <f>T48*E48</f>
        <v>9750</v>
      </c>
      <c r="V48" s="77">
        <f t="shared" si="5"/>
        <v>4800</v>
      </c>
      <c r="W48" s="129">
        <v>9750</v>
      </c>
      <c r="X48" s="129">
        <f>T48*G48</f>
        <v>3900</v>
      </c>
      <c r="Y48" s="129">
        <v>3900</v>
      </c>
      <c r="Z48" s="129">
        <f>T48*I48</f>
        <v>3250</v>
      </c>
      <c r="AA48" s="129">
        <v>3250</v>
      </c>
      <c r="AB48" s="129">
        <f>T48*K48</f>
        <v>0</v>
      </c>
      <c r="AC48" s="129">
        <v>0</v>
      </c>
      <c r="AD48" s="129">
        <f>T48*M48</f>
        <v>9750</v>
      </c>
      <c r="AE48" s="129">
        <v>9750</v>
      </c>
      <c r="AF48" s="147">
        <f>T48*O48</f>
        <v>9750</v>
      </c>
      <c r="AG48" s="147">
        <v>9750</v>
      </c>
      <c r="AH48" s="129">
        <f>T48*Q48</f>
        <v>9750</v>
      </c>
      <c r="AI48" s="129">
        <v>9750</v>
      </c>
      <c r="AJ48" s="129">
        <v>9750</v>
      </c>
      <c r="AK48" s="129">
        <f>T48*S48</f>
        <v>16250</v>
      </c>
      <c r="AL48" s="129">
        <v>16250</v>
      </c>
      <c r="AM48" s="199">
        <f t="shared" ref="AM48:AM52" si="16">AL48+AJ48+AI48+AE48+AC48+AA48+Y48+W48</f>
        <v>62400</v>
      </c>
      <c r="AN48" s="147">
        <f t="shared" si="1"/>
        <v>6240</v>
      </c>
      <c r="AO48" s="127">
        <f t="shared" si="11"/>
        <v>31200</v>
      </c>
      <c r="AP48" s="129">
        <f>AM48+AO48</f>
        <v>93600</v>
      </c>
      <c r="AQ48" s="129">
        <f t="shared" si="6"/>
        <v>18720</v>
      </c>
      <c r="AR48" s="129">
        <f t="shared" si="7"/>
        <v>28080</v>
      </c>
      <c r="AS48" s="129">
        <f t="shared" si="8"/>
        <v>22464</v>
      </c>
      <c r="AT48" s="129">
        <f t="shared" si="9"/>
        <v>13478.400000000001</v>
      </c>
      <c r="AU48" s="209">
        <f t="shared" si="10"/>
        <v>176342.39999999999</v>
      </c>
      <c r="AV48" s="202">
        <f t="shared" si="2"/>
        <v>1248</v>
      </c>
      <c r="AW48" s="153">
        <f t="shared" si="3"/>
        <v>12480</v>
      </c>
      <c r="AX48" s="202">
        <f t="shared" si="4"/>
        <v>6240</v>
      </c>
      <c r="AY48" s="202">
        <v>20</v>
      </c>
      <c r="AZ48" s="190" t="s">
        <v>124</v>
      </c>
      <c r="BA48" s="129">
        <f t="shared" si="13"/>
        <v>113942.39999999999</v>
      </c>
    </row>
    <row r="49" spans="1:53" s="98" customFormat="1" ht="29.25" customHeight="1" x14ac:dyDescent="0.25">
      <c r="A49" s="216">
        <v>17</v>
      </c>
      <c r="B49" s="178"/>
      <c r="C49" s="123"/>
      <c r="D49" s="11"/>
      <c r="E49" s="11"/>
      <c r="F49" s="48"/>
      <c r="G49" s="94"/>
      <c r="H49" s="99"/>
      <c r="I49" s="93"/>
      <c r="J49" s="35"/>
      <c r="K49" s="93"/>
      <c r="L49" s="35"/>
      <c r="M49" s="93"/>
      <c r="N49" s="35"/>
      <c r="O49" s="93"/>
      <c r="Q49" s="93"/>
      <c r="R49" s="55"/>
      <c r="S49" s="97"/>
      <c r="T49" s="132"/>
      <c r="U49" s="147"/>
      <c r="V49" s="97"/>
      <c r="W49" s="147"/>
      <c r="X49" s="147"/>
      <c r="Y49" s="147"/>
      <c r="Z49" s="147"/>
      <c r="AA49" s="147"/>
      <c r="AB49" s="147"/>
      <c r="AC49" s="147"/>
      <c r="AD49" s="147"/>
      <c r="AE49" s="147"/>
      <c r="AF49" s="147"/>
      <c r="AG49" s="147"/>
      <c r="AH49" s="147"/>
      <c r="AI49" s="147"/>
      <c r="AJ49" s="147"/>
      <c r="AK49" s="147"/>
      <c r="AL49" s="147"/>
      <c r="AM49" s="199"/>
      <c r="AN49" s="147">
        <f t="shared" si="1"/>
        <v>0</v>
      </c>
      <c r="AO49" s="167"/>
      <c r="AP49" s="147"/>
      <c r="AQ49" s="147"/>
      <c r="AR49" s="147"/>
      <c r="AS49" s="147"/>
      <c r="AT49" s="147"/>
      <c r="AU49" s="209"/>
      <c r="AV49" s="202">
        <f t="shared" si="2"/>
        <v>0</v>
      </c>
      <c r="AW49" s="153">
        <f t="shared" si="3"/>
        <v>0</v>
      </c>
      <c r="AX49" s="202">
        <f t="shared" si="4"/>
        <v>0</v>
      </c>
      <c r="AY49" s="202"/>
      <c r="AZ49" s="94"/>
      <c r="BA49" s="147"/>
    </row>
    <row r="50" spans="1:53" s="98" customFormat="1" ht="45" customHeight="1" x14ac:dyDescent="0.25">
      <c r="A50" s="217"/>
      <c r="B50" s="29" t="s">
        <v>15</v>
      </c>
      <c r="C50" s="124" t="s">
        <v>125</v>
      </c>
      <c r="D50" s="11">
        <v>50</v>
      </c>
      <c r="E50" s="11">
        <f>D50*5</f>
        <v>250</v>
      </c>
      <c r="F50" s="48">
        <v>40</v>
      </c>
      <c r="G50" s="94">
        <v>200</v>
      </c>
      <c r="H50" s="48">
        <v>72</v>
      </c>
      <c r="I50" s="93">
        <v>360</v>
      </c>
      <c r="J50" s="34" t="s">
        <v>77</v>
      </c>
      <c r="K50" s="93">
        <v>0</v>
      </c>
      <c r="L50" s="35">
        <v>50</v>
      </c>
      <c r="M50" s="93">
        <v>250</v>
      </c>
      <c r="N50" s="35">
        <v>50</v>
      </c>
      <c r="O50" s="93">
        <v>250</v>
      </c>
      <c r="P50" s="35"/>
      <c r="Q50" s="93">
        <v>0</v>
      </c>
      <c r="R50" s="55">
        <v>80</v>
      </c>
      <c r="S50" s="97">
        <v>400</v>
      </c>
      <c r="T50" s="180">
        <v>130</v>
      </c>
      <c r="U50" s="129">
        <f>T50*E50</f>
        <v>32500</v>
      </c>
      <c r="V50" s="77">
        <f t="shared" si="5"/>
        <v>1710</v>
      </c>
      <c r="W50" s="129">
        <v>32500</v>
      </c>
      <c r="X50" s="129">
        <f>T50*G50</f>
        <v>26000</v>
      </c>
      <c r="Y50" s="129">
        <v>26000</v>
      </c>
      <c r="Z50" s="129">
        <f>T50*I50</f>
        <v>46800</v>
      </c>
      <c r="AA50" s="147">
        <v>46800</v>
      </c>
      <c r="AB50" s="129">
        <f>T50*K50</f>
        <v>0</v>
      </c>
      <c r="AC50" s="129">
        <v>0</v>
      </c>
      <c r="AD50" s="129">
        <f>T50*M50</f>
        <v>32500</v>
      </c>
      <c r="AE50" s="129">
        <v>32500</v>
      </c>
      <c r="AF50" s="147">
        <f>T50*O50</f>
        <v>32500</v>
      </c>
      <c r="AG50" s="147">
        <v>32500</v>
      </c>
      <c r="AH50" s="129">
        <f>T50*Q50</f>
        <v>0</v>
      </c>
      <c r="AI50" s="129">
        <v>32500</v>
      </c>
      <c r="AJ50" s="129">
        <v>0</v>
      </c>
      <c r="AK50" s="129">
        <f>T50*S50</f>
        <v>52000</v>
      </c>
      <c r="AL50" s="129">
        <v>52000</v>
      </c>
      <c r="AM50" s="199">
        <f t="shared" si="16"/>
        <v>222300</v>
      </c>
      <c r="AN50" s="147">
        <f t="shared" si="1"/>
        <v>22230</v>
      </c>
      <c r="AO50" s="127">
        <f t="shared" si="11"/>
        <v>111150</v>
      </c>
      <c r="AP50" s="129">
        <f>AM50+AO50</f>
        <v>333450</v>
      </c>
      <c r="AQ50" s="129">
        <f t="shared" si="6"/>
        <v>66690</v>
      </c>
      <c r="AR50" s="129">
        <f t="shared" si="7"/>
        <v>100035</v>
      </c>
      <c r="AS50" s="129">
        <f t="shared" si="8"/>
        <v>80028</v>
      </c>
      <c r="AT50" s="129">
        <f t="shared" si="9"/>
        <v>48016.800000000003</v>
      </c>
      <c r="AU50" s="209">
        <f t="shared" si="10"/>
        <v>628219.80000000005</v>
      </c>
      <c r="AV50" s="202">
        <f t="shared" si="2"/>
        <v>4446</v>
      </c>
      <c r="AW50" s="153">
        <f t="shared" si="3"/>
        <v>44460</v>
      </c>
      <c r="AX50" s="202">
        <f t="shared" si="4"/>
        <v>22230</v>
      </c>
      <c r="AY50" s="202">
        <v>70</v>
      </c>
      <c r="AZ50" s="190" t="s">
        <v>126</v>
      </c>
      <c r="BA50" s="129">
        <f t="shared" si="13"/>
        <v>405919.80000000005</v>
      </c>
    </row>
    <row r="51" spans="1:53" s="98" customFormat="1" ht="30" customHeight="1" x14ac:dyDescent="0.25">
      <c r="A51" s="216">
        <v>18</v>
      </c>
      <c r="B51" s="178"/>
      <c r="C51" s="123"/>
      <c r="D51" s="11"/>
      <c r="E51" s="11"/>
      <c r="F51" s="48"/>
      <c r="G51" s="94"/>
      <c r="H51" s="99"/>
      <c r="I51" s="93"/>
      <c r="J51" s="35"/>
      <c r="K51" s="93"/>
      <c r="L51" s="35"/>
      <c r="M51" s="93"/>
      <c r="N51" s="35"/>
      <c r="O51" s="93"/>
      <c r="P51" s="35"/>
      <c r="Q51" s="93"/>
      <c r="R51" s="55"/>
      <c r="S51" s="97"/>
      <c r="T51" s="132"/>
      <c r="U51" s="147"/>
      <c r="V51" s="97"/>
      <c r="W51" s="147"/>
      <c r="X51" s="147"/>
      <c r="Y51" s="147"/>
      <c r="Z51" s="147"/>
      <c r="AA51" s="147"/>
      <c r="AB51" s="147"/>
      <c r="AC51" s="147"/>
      <c r="AD51" s="147"/>
      <c r="AE51" s="147"/>
      <c r="AF51" s="147"/>
      <c r="AG51" s="147"/>
      <c r="AH51" s="147"/>
      <c r="AI51" s="147"/>
      <c r="AJ51" s="147"/>
      <c r="AK51" s="147"/>
      <c r="AL51" s="147"/>
      <c r="AM51" s="199"/>
      <c r="AN51" s="147">
        <f t="shared" si="1"/>
        <v>0</v>
      </c>
      <c r="AO51" s="167"/>
      <c r="AP51" s="147"/>
      <c r="AQ51" s="147"/>
      <c r="AR51" s="147"/>
      <c r="AS51" s="147"/>
      <c r="AT51" s="147"/>
      <c r="AU51" s="209"/>
      <c r="AV51" s="202">
        <f t="shared" si="2"/>
        <v>0</v>
      </c>
      <c r="AW51" s="153">
        <f t="shared" si="3"/>
        <v>0</v>
      </c>
      <c r="AX51" s="202">
        <f t="shared" si="4"/>
        <v>0</v>
      </c>
      <c r="AY51" s="202"/>
      <c r="AZ51" s="94"/>
      <c r="BA51" s="147"/>
    </row>
    <row r="52" spans="1:53" s="98" customFormat="1" ht="48" customHeight="1" x14ac:dyDescent="0.25">
      <c r="A52" s="217"/>
      <c r="B52" s="29" t="s">
        <v>15</v>
      </c>
      <c r="C52" s="123" t="s">
        <v>49</v>
      </c>
      <c r="D52" s="11">
        <v>50</v>
      </c>
      <c r="E52" s="11">
        <f>D52*5</f>
        <v>250</v>
      </c>
      <c r="F52" s="48">
        <v>40</v>
      </c>
      <c r="G52" s="94">
        <v>200</v>
      </c>
      <c r="H52" s="48"/>
      <c r="I52" s="93">
        <v>0</v>
      </c>
      <c r="J52" s="34" t="s">
        <v>77</v>
      </c>
      <c r="K52" s="93"/>
      <c r="L52" s="35">
        <v>20</v>
      </c>
      <c r="M52" s="93">
        <v>100</v>
      </c>
      <c r="N52" s="35">
        <v>10</v>
      </c>
      <c r="O52" s="93">
        <v>50</v>
      </c>
      <c r="P52" s="35"/>
      <c r="Q52" s="93">
        <v>0</v>
      </c>
      <c r="R52" s="133">
        <v>65</v>
      </c>
      <c r="S52" s="97">
        <v>325</v>
      </c>
      <c r="T52" s="179">
        <v>22</v>
      </c>
      <c r="U52" s="129">
        <f>T52*E52</f>
        <v>5500</v>
      </c>
      <c r="V52" s="77">
        <f t="shared" si="5"/>
        <v>925</v>
      </c>
      <c r="W52" s="129">
        <v>5500</v>
      </c>
      <c r="X52" s="129">
        <f>T52*G52</f>
        <v>4400</v>
      </c>
      <c r="Y52" s="129">
        <v>4400</v>
      </c>
      <c r="Z52" s="129">
        <f>T52*I52</f>
        <v>0</v>
      </c>
      <c r="AA52" s="129">
        <v>0</v>
      </c>
      <c r="AB52" s="129">
        <f>T52*K52</f>
        <v>0</v>
      </c>
      <c r="AC52" s="129">
        <v>0</v>
      </c>
      <c r="AD52" s="129">
        <f>T52*M52</f>
        <v>2200</v>
      </c>
      <c r="AE52" s="129">
        <v>2200</v>
      </c>
      <c r="AF52" s="147">
        <f>T52*O52</f>
        <v>1100</v>
      </c>
      <c r="AG52" s="147">
        <v>1100</v>
      </c>
      <c r="AH52" s="129">
        <f>T52*Q52</f>
        <v>0</v>
      </c>
      <c r="AI52" s="129">
        <v>1100</v>
      </c>
      <c r="AJ52" s="129">
        <v>0</v>
      </c>
      <c r="AK52" s="129">
        <f>T52*S52</f>
        <v>7150</v>
      </c>
      <c r="AL52" s="129">
        <v>7150</v>
      </c>
      <c r="AM52" s="199">
        <f t="shared" si="16"/>
        <v>20350</v>
      </c>
      <c r="AN52" s="147">
        <f t="shared" si="1"/>
        <v>2035</v>
      </c>
      <c r="AO52" s="127">
        <f t="shared" si="11"/>
        <v>10175</v>
      </c>
      <c r="AP52" s="129">
        <f>AM52+AO52</f>
        <v>30525</v>
      </c>
      <c r="AQ52" s="129">
        <f t="shared" si="6"/>
        <v>6105</v>
      </c>
      <c r="AR52" s="129">
        <f t="shared" si="7"/>
        <v>9157.5</v>
      </c>
      <c r="AS52" s="129">
        <f t="shared" si="8"/>
        <v>7326</v>
      </c>
      <c r="AT52" s="129">
        <f t="shared" si="9"/>
        <v>4395.6000000000004</v>
      </c>
      <c r="AU52" s="209">
        <f t="shared" si="10"/>
        <v>57509.1</v>
      </c>
      <c r="AV52" s="202">
        <f t="shared" si="2"/>
        <v>407</v>
      </c>
      <c r="AW52" s="153">
        <f t="shared" si="3"/>
        <v>4070</v>
      </c>
      <c r="AX52" s="202">
        <f t="shared" si="4"/>
        <v>2035</v>
      </c>
      <c r="AY52" s="202" t="s">
        <v>140</v>
      </c>
      <c r="AZ52" s="190" t="s">
        <v>127</v>
      </c>
      <c r="BA52" s="129">
        <f t="shared" si="13"/>
        <v>37159.1</v>
      </c>
    </row>
    <row r="53" spans="1:53" s="109" customFormat="1" ht="78.75" customHeight="1" x14ac:dyDescent="0.25">
      <c r="A53" s="29">
        <v>19</v>
      </c>
      <c r="B53" s="23" t="s">
        <v>15</v>
      </c>
      <c r="C53" s="121" t="s">
        <v>128</v>
      </c>
      <c r="D53" s="21">
        <v>15</v>
      </c>
      <c r="E53" s="21">
        <f>D53*5</f>
        <v>75</v>
      </c>
      <c r="F53" s="48" t="s">
        <v>77</v>
      </c>
      <c r="G53" s="94" t="s">
        <v>77</v>
      </c>
      <c r="H53" s="106" t="s">
        <v>77</v>
      </c>
      <c r="I53" s="94" t="s">
        <v>77</v>
      </c>
      <c r="J53" s="11" t="s">
        <v>77</v>
      </c>
      <c r="K53" s="21"/>
      <c r="L53" s="73">
        <v>5</v>
      </c>
      <c r="M53" s="21">
        <v>25</v>
      </c>
      <c r="N53" s="73" t="s">
        <v>77</v>
      </c>
      <c r="O53" s="94" t="s">
        <v>77</v>
      </c>
      <c r="P53" s="11" t="s">
        <v>77</v>
      </c>
      <c r="Q53" s="94" t="s">
        <v>77</v>
      </c>
      <c r="R53" s="134">
        <v>40</v>
      </c>
      <c r="S53" s="108">
        <v>200</v>
      </c>
      <c r="T53" s="179">
        <v>750</v>
      </c>
      <c r="U53" s="129">
        <f>T53*E53</f>
        <v>56250</v>
      </c>
      <c r="V53" s="77">
        <f>S53+M53+E53</f>
        <v>300</v>
      </c>
      <c r="W53" s="129">
        <v>56250</v>
      </c>
      <c r="X53" s="129" t="s">
        <v>77</v>
      </c>
      <c r="Y53" s="129"/>
      <c r="Z53" s="129" t="s">
        <v>77</v>
      </c>
      <c r="AA53" s="129"/>
      <c r="AB53" s="129">
        <f>T53*K53</f>
        <v>0</v>
      </c>
      <c r="AC53" s="129">
        <v>0</v>
      </c>
      <c r="AD53" s="129">
        <f>T53*M53</f>
        <v>18750</v>
      </c>
      <c r="AE53" s="129">
        <v>18750</v>
      </c>
      <c r="AF53" s="147" t="s">
        <v>77</v>
      </c>
      <c r="AG53" s="147">
        <v>0</v>
      </c>
      <c r="AH53" s="129" t="s">
        <v>77</v>
      </c>
      <c r="AI53" s="129"/>
      <c r="AJ53" s="129"/>
      <c r="AK53" s="129">
        <f>T53*S53</f>
        <v>150000</v>
      </c>
      <c r="AL53" s="129">
        <v>150000</v>
      </c>
      <c r="AM53" s="199">
        <f>AL53+AE53+W53</f>
        <v>225000</v>
      </c>
      <c r="AN53" s="147">
        <f t="shared" si="1"/>
        <v>22500</v>
      </c>
      <c r="AO53" s="127">
        <f t="shared" si="11"/>
        <v>112500</v>
      </c>
      <c r="AP53" s="129">
        <f>AM53+AO53</f>
        <v>337500</v>
      </c>
      <c r="AQ53" s="129">
        <f t="shared" si="6"/>
        <v>67500</v>
      </c>
      <c r="AR53" s="129">
        <f t="shared" si="7"/>
        <v>101250</v>
      </c>
      <c r="AS53" s="129">
        <f t="shared" si="8"/>
        <v>81000</v>
      </c>
      <c r="AT53" s="129">
        <f t="shared" si="9"/>
        <v>48600</v>
      </c>
      <c r="AU53" s="209">
        <f t="shared" si="10"/>
        <v>635850</v>
      </c>
      <c r="AV53" s="202">
        <f t="shared" si="2"/>
        <v>4500</v>
      </c>
      <c r="AW53" s="153">
        <f t="shared" si="3"/>
        <v>45000</v>
      </c>
      <c r="AX53" s="202">
        <f t="shared" si="4"/>
        <v>22500</v>
      </c>
      <c r="AY53" s="202">
        <v>70</v>
      </c>
      <c r="AZ53" s="190" t="s">
        <v>129</v>
      </c>
      <c r="BA53" s="129">
        <f t="shared" si="13"/>
        <v>410850</v>
      </c>
    </row>
    <row r="54" spans="1:53" s="98" customFormat="1" ht="24" customHeight="1" x14ac:dyDescent="0.25">
      <c r="C54" s="184"/>
      <c r="F54" s="185"/>
      <c r="H54" s="186"/>
      <c r="I54" s="187"/>
      <c r="K54" s="187"/>
      <c r="M54" s="187"/>
      <c r="O54" s="187"/>
      <c r="Q54" s="187"/>
      <c r="R54" s="107"/>
      <c r="T54" s="188"/>
      <c r="V54" s="189" t="e">
        <f>V53+V52+V50+V48+V46+V45+V43+#REF!+V41+V40+V39+V38+V35+V34+V32+V29+V26+V23+V20+V17+V14+V11+V8+V5+V2</f>
        <v>#REF!</v>
      </c>
      <c r="W54" s="148">
        <f>W2+W5+W8+W11+W14+W17+W20+W23+W26+W29+W32+W34+W38+W43+W45+W48+W50+W52+W53</f>
        <v>1561450</v>
      </c>
      <c r="Y54" s="148">
        <f>Y2+Y5+Y17+Y20+Y23+Y26+Y29+Y32+Y34+Y43+Y45+Y48+Y50+Y52</f>
        <v>1202500</v>
      </c>
      <c r="AA54" s="148">
        <f>AA2+AA5+AA8+AA11+AA23+AA20+AA26+AA34+AA48+AA50</f>
        <v>853750</v>
      </c>
      <c r="AB54" s="148" t="e">
        <f>AB2+AB17+#REF!</f>
        <v>#REF!</v>
      </c>
      <c r="AC54" s="148">
        <f>AC2+AC17+AC23</f>
        <v>179150</v>
      </c>
      <c r="AE54" s="148">
        <f>AE2+AE5+AE8+AE17+AE20+AE23+AE26+AE29+AE32+AE34+AE38+AE43+AE45+AE48+AE50+AE52+AE53</f>
        <v>1366950</v>
      </c>
      <c r="AF54" s="148" t="e">
        <f>AF2+AF5+AF8+AF11+AF14+AF17+AF20+AF23+#REF!+AF26+#REF!+#REF!+AF29+AF32+AF34+AF35+#REF!+AF39+AF41+#REF!+AF43+AF48+AF50+AF52</f>
        <v>#REF!</v>
      </c>
      <c r="AG54" s="148">
        <f>AG2+AG5+AG8+AG11+AG14+AG17+AG20+AG23+AG26+AG29+AG32+AG34+AG38+AG43+AG48+AG50+AG52</f>
        <v>1418100</v>
      </c>
      <c r="AH54" s="148" t="e">
        <f>AH2+AH5+AH8+AH11+AH14+AH17+AH23+#REF!+AH26+#REF!+#REF!+AH29+AH34+AH35+#REF!+#REF!+AH45+AH46+AH48</f>
        <v>#REF!</v>
      </c>
      <c r="AI54" s="148">
        <v>1514650</v>
      </c>
      <c r="AJ54" s="148">
        <f>AJ2+AJ5+AJ8+AJ11+AJ14+AJ17+AJ23+AJ26+AJ29+AJ34+AJ45+AJ48</f>
        <v>635800</v>
      </c>
      <c r="AL54" s="148">
        <f>AL2+AL5+AL8+AL17+AL20+AL23+AL26+AL29+AL34+AL38+AL45+AL48+AL50+AL52+AL53</f>
        <v>2603500</v>
      </c>
      <c r="AM54" s="200">
        <f>AM2+AM5+AM8+AM11+AM14+AM17+AM20+AM23+AM26+AM29+AM32+AM34+AM38+AM43+AM45+AM48+AM50+AM52+AM53</f>
        <v>9858700</v>
      </c>
      <c r="AN54" s="147">
        <f t="shared" si="1"/>
        <v>985870</v>
      </c>
      <c r="AU54" s="210"/>
      <c r="AV54" s="201"/>
      <c r="AX54" s="201"/>
      <c r="AY54" s="201"/>
      <c r="AZ54" s="94"/>
      <c r="BA54" s="94"/>
    </row>
    <row r="55" spans="1:53" ht="24" customHeight="1" x14ac:dyDescent="0.25">
      <c r="AA55" s="143"/>
      <c r="AU55" s="211"/>
      <c r="AV55" s="200"/>
      <c r="AW55" s="143"/>
      <c r="AX55" s="200"/>
      <c r="AY55" s="200"/>
    </row>
    <row r="56" spans="1:53" ht="24" customHeight="1" x14ac:dyDescent="0.25">
      <c r="W56" s="146"/>
      <c r="X56" s="146"/>
      <c r="Y56" s="146"/>
      <c r="Z56" s="146"/>
      <c r="AA56" s="146"/>
      <c r="AB56" s="146"/>
      <c r="AC56" s="146">
        <f>AA54-AA55</f>
        <v>853750</v>
      </c>
      <c r="AD56" s="146"/>
      <c r="AJ56" s="143"/>
      <c r="AL56" s="143"/>
      <c r="AM56" s="200"/>
      <c r="AN56" s="148"/>
      <c r="AP56" s="143"/>
    </row>
    <row r="57" spans="1:53" ht="42" customHeight="1" x14ac:dyDescent="0.25">
      <c r="C57" s="126"/>
      <c r="W57" s="143"/>
      <c r="AC57" s="148"/>
    </row>
    <row r="58" spans="1:53" ht="24" customHeight="1" x14ac:dyDescent="0.25">
      <c r="AU58" s="212"/>
    </row>
    <row r="59" spans="1:53" ht="24" customHeight="1" x14ac:dyDescent="0.25">
      <c r="AU59" s="212"/>
    </row>
    <row r="60" spans="1:53" ht="24" customHeight="1" x14ac:dyDescent="0.25">
      <c r="AU60" s="212"/>
    </row>
    <row r="61" spans="1:53" ht="24" customHeight="1" x14ac:dyDescent="0.25">
      <c r="AU61" s="212"/>
    </row>
    <row r="62" spans="1:53" ht="24" customHeight="1" x14ac:dyDescent="0.25">
      <c r="AU62" s="212"/>
    </row>
    <row r="63" spans="1:53" ht="24" customHeight="1" x14ac:dyDescent="0.25">
      <c r="AU63" s="212"/>
    </row>
    <row r="64" spans="1:53" ht="24" customHeight="1" x14ac:dyDescent="0.25">
      <c r="AT64" s="78" t="s">
        <v>142</v>
      </c>
      <c r="AU64" s="212">
        <v>500</v>
      </c>
    </row>
  </sheetData>
  <mergeCells count="90">
    <mergeCell ref="BA45:BA46"/>
    <mergeCell ref="BA38:BA41"/>
    <mergeCell ref="BA34:BA35"/>
    <mergeCell ref="AZ45:AZ46"/>
    <mergeCell ref="A49:A50"/>
    <mergeCell ref="AU45:AU46"/>
    <mergeCell ref="A44:A46"/>
    <mergeCell ref="A47:A48"/>
    <mergeCell ref="AE45:AE46"/>
    <mergeCell ref="AA45:AA46"/>
    <mergeCell ref="AC34:AC35"/>
    <mergeCell ref="AC38:AC41"/>
    <mergeCell ref="AC45:AC46"/>
    <mergeCell ref="AA34:AA35"/>
    <mergeCell ref="AA38:AA41"/>
    <mergeCell ref="W34:W35"/>
    <mergeCell ref="A51:A52"/>
    <mergeCell ref="A31:A32"/>
    <mergeCell ref="A25:A27"/>
    <mergeCell ref="AZ34:AZ35"/>
    <mergeCell ref="AS38:AS41"/>
    <mergeCell ref="AT38:AT41"/>
    <mergeCell ref="AU38:AU41"/>
    <mergeCell ref="AZ38:AZ41"/>
    <mergeCell ref="AU34:AU35"/>
    <mergeCell ref="AM45:AM46"/>
    <mergeCell ref="AO45:AO46"/>
    <mergeCell ref="AP45:AP46"/>
    <mergeCell ref="AQ45:AQ46"/>
    <mergeCell ref="AR45:AR46"/>
    <mergeCell ref="AS45:AS46"/>
    <mergeCell ref="AT45:AT46"/>
    <mergeCell ref="AZ22:AZ23"/>
    <mergeCell ref="AM38:AM41"/>
    <mergeCell ref="AO38:AO41"/>
    <mergeCell ref="AP38:AP41"/>
    <mergeCell ref="AQ38:AQ41"/>
    <mergeCell ref="AR38:AR41"/>
    <mergeCell ref="AO34:AO35"/>
    <mergeCell ref="AP34:AP35"/>
    <mergeCell ref="AQ34:AQ35"/>
    <mergeCell ref="AR34:AR35"/>
    <mergeCell ref="AS34:AS35"/>
    <mergeCell ref="AT34:AT35"/>
    <mergeCell ref="AM34:AM35"/>
    <mergeCell ref="AV38:AV41"/>
    <mergeCell ref="AW38:AW41"/>
    <mergeCell ref="AX38:AX41"/>
    <mergeCell ref="AL45:AL46"/>
    <mergeCell ref="AI34:AI35"/>
    <mergeCell ref="AI38:AI41"/>
    <mergeCell ref="AI45:AI46"/>
    <mergeCell ref="AJ34:AJ35"/>
    <mergeCell ref="AJ38:AJ41"/>
    <mergeCell ref="W45:W46"/>
    <mergeCell ref="Y34:Y35"/>
    <mergeCell ref="Y38:Y41"/>
    <mergeCell ref="Y45:Y46"/>
    <mergeCell ref="AJ45:AJ46"/>
    <mergeCell ref="AG38:AG41"/>
    <mergeCell ref="AG45:AG46"/>
    <mergeCell ref="AG34:AG35"/>
    <mergeCell ref="AE34:AE35"/>
    <mergeCell ref="AE38:AE41"/>
    <mergeCell ref="A20:A21"/>
    <mergeCell ref="C24:E24"/>
    <mergeCell ref="C27:E27"/>
    <mergeCell ref="A2:A3"/>
    <mergeCell ref="C4:E4"/>
    <mergeCell ref="A5:A7"/>
    <mergeCell ref="C7:E7"/>
    <mergeCell ref="A8:A10"/>
    <mergeCell ref="C10:E10"/>
    <mergeCell ref="A11:A13"/>
    <mergeCell ref="C13:E13"/>
    <mergeCell ref="A14:A16"/>
    <mergeCell ref="C16:E16"/>
    <mergeCell ref="A17:A19"/>
    <mergeCell ref="C19:E19"/>
    <mergeCell ref="A22:A24"/>
    <mergeCell ref="AY38:AY41"/>
    <mergeCell ref="A42:A43"/>
    <mergeCell ref="A28:A29"/>
    <mergeCell ref="C30:E30"/>
    <mergeCell ref="A33:A36"/>
    <mergeCell ref="C36:E36"/>
    <mergeCell ref="A37:A41"/>
    <mergeCell ref="W38:W41"/>
    <mergeCell ref="AL38:AL41"/>
    <mergeCell ref="AL34:AL35"/>
  </mergeCells>
  <pageMargins left="0.70866141732283472" right="0.70866141732283472" top="0.74803149606299213" bottom="0.74803149606299213"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16" workbookViewId="0">
      <selection activeCell="A27" sqref="A27"/>
    </sheetView>
  </sheetViews>
  <sheetFormatPr defaultColWidth="18.7109375" defaultRowHeight="36.75" customHeight="1" x14ac:dyDescent="0.25"/>
  <cols>
    <col min="1" max="1" width="78.42578125" customWidth="1"/>
    <col min="2" max="2" width="7.7109375" customWidth="1"/>
  </cols>
  <sheetData>
    <row r="1" spans="1:2" ht="26.25" customHeight="1" x14ac:dyDescent="0.25">
      <c r="A1" s="264" t="s">
        <v>0</v>
      </c>
      <c r="B1" s="264"/>
    </row>
    <row r="2" spans="1:2" ht="19.5" customHeight="1" x14ac:dyDescent="0.25">
      <c r="A2" s="1" t="s">
        <v>58</v>
      </c>
      <c r="B2" s="2" t="s">
        <v>1</v>
      </c>
    </row>
    <row r="3" spans="1:2" ht="36.75" customHeight="1" x14ac:dyDescent="0.25">
      <c r="A3" s="3" t="s">
        <v>2</v>
      </c>
      <c r="B3" s="4">
        <v>10</v>
      </c>
    </row>
    <row r="4" spans="1:2" ht="46.5" customHeight="1" x14ac:dyDescent="0.25">
      <c r="A4" s="3" t="s">
        <v>3</v>
      </c>
      <c r="B4" s="4">
        <v>40</v>
      </c>
    </row>
    <row r="5" spans="1:2" ht="36.75" customHeight="1" x14ac:dyDescent="0.25">
      <c r="A5" s="5" t="s">
        <v>4</v>
      </c>
      <c r="B5" s="4">
        <v>10</v>
      </c>
    </row>
    <row r="6" spans="1:2" ht="28.5" customHeight="1" x14ac:dyDescent="0.25">
      <c r="A6" s="5" t="s">
        <v>5</v>
      </c>
      <c r="B6" s="4">
        <v>10</v>
      </c>
    </row>
    <row r="7" spans="1:2" ht="25.5" customHeight="1" x14ac:dyDescent="0.25">
      <c r="A7" s="6" t="s">
        <v>6</v>
      </c>
      <c r="B7" s="7">
        <f>SUM(B3:B6)</f>
        <v>70</v>
      </c>
    </row>
    <row r="8" spans="1:2" ht="14.25" customHeight="1" x14ac:dyDescent="0.25"/>
    <row r="9" spans="1:2" ht="21.75" customHeight="1" x14ac:dyDescent="0.25">
      <c r="A9" s="1" t="s">
        <v>57</v>
      </c>
      <c r="B9" s="2" t="s">
        <v>1</v>
      </c>
    </row>
    <row r="10" spans="1:2" ht="36.75" customHeight="1" x14ac:dyDescent="0.25">
      <c r="A10" s="3" t="s">
        <v>2</v>
      </c>
      <c r="B10" s="4">
        <v>20</v>
      </c>
    </row>
    <row r="11" spans="1:2" ht="36.75" customHeight="1" x14ac:dyDescent="0.25">
      <c r="A11" s="3" t="s">
        <v>7</v>
      </c>
      <c r="B11" s="4">
        <v>40</v>
      </c>
    </row>
    <row r="12" spans="1:2" ht="36.75" customHeight="1" x14ac:dyDescent="0.25">
      <c r="A12" s="5" t="s">
        <v>4</v>
      </c>
      <c r="B12" s="4">
        <v>10</v>
      </c>
    </row>
    <row r="13" spans="1:2" ht="27" customHeight="1" x14ac:dyDescent="0.25">
      <c r="A13" s="8" t="s">
        <v>6</v>
      </c>
      <c r="B13" s="7">
        <f>SUM(B10:B12)</f>
        <v>70</v>
      </c>
    </row>
    <row r="14" spans="1:2" ht="15" customHeight="1" x14ac:dyDescent="0.25"/>
    <row r="15" spans="1:2" ht="22.5" customHeight="1" x14ac:dyDescent="0.25">
      <c r="A15" s="1" t="s">
        <v>56</v>
      </c>
      <c r="B15" s="2" t="s">
        <v>1</v>
      </c>
    </row>
    <row r="16" spans="1:2" ht="36.75" customHeight="1" x14ac:dyDescent="0.25">
      <c r="A16" s="3" t="s">
        <v>2</v>
      </c>
      <c r="B16" s="4">
        <v>20</v>
      </c>
    </row>
    <row r="17" spans="1:2" ht="36.75" customHeight="1" x14ac:dyDescent="0.25">
      <c r="A17" s="3" t="s">
        <v>8</v>
      </c>
      <c r="B17" s="4">
        <v>40</v>
      </c>
    </row>
    <row r="18" spans="1:2" ht="36.75" customHeight="1" x14ac:dyDescent="0.25">
      <c r="A18" s="5" t="s">
        <v>4</v>
      </c>
      <c r="B18" s="4">
        <v>10</v>
      </c>
    </row>
    <row r="19" spans="1:2" ht="20.25" customHeight="1" x14ac:dyDescent="0.25">
      <c r="A19" s="8" t="s">
        <v>6</v>
      </c>
      <c r="B19" s="7">
        <f>SUM(B16:B18)</f>
        <v>70</v>
      </c>
    </row>
    <row r="20" spans="1:2" ht="17.25" customHeight="1" x14ac:dyDescent="0.25"/>
    <row r="21" spans="1:2" ht="24" customHeight="1" x14ac:dyDescent="0.25">
      <c r="A21" s="1" t="s">
        <v>55</v>
      </c>
      <c r="B21" s="2" t="s">
        <v>1</v>
      </c>
    </row>
    <row r="22" spans="1:2" ht="36.75" customHeight="1" x14ac:dyDescent="0.25">
      <c r="A22" s="3" t="s">
        <v>2</v>
      </c>
      <c r="B22" s="4">
        <v>20</v>
      </c>
    </row>
    <row r="23" spans="1:2" ht="27.75" customHeight="1" x14ac:dyDescent="0.25">
      <c r="A23" s="3" t="s">
        <v>9</v>
      </c>
      <c r="B23" s="4">
        <v>40</v>
      </c>
    </row>
    <row r="24" spans="1:2" ht="36.75" customHeight="1" x14ac:dyDescent="0.25">
      <c r="A24" s="5" t="s">
        <v>4</v>
      </c>
      <c r="B24" s="4">
        <v>10</v>
      </c>
    </row>
    <row r="25" spans="1:2" ht="21.75" customHeight="1" x14ac:dyDescent="0.25">
      <c r="A25" s="8" t="s">
        <v>6</v>
      </c>
      <c r="B25" s="7">
        <f>SUM(B22:B24)</f>
        <v>70</v>
      </c>
    </row>
    <row r="26" spans="1:2" ht="15.75" customHeight="1" x14ac:dyDescent="0.25"/>
    <row r="27" spans="1:2" ht="20.25" customHeight="1" x14ac:dyDescent="0.25">
      <c r="A27" s="1" t="s">
        <v>70</v>
      </c>
      <c r="B27" s="2" t="s">
        <v>1</v>
      </c>
    </row>
    <row r="28" spans="1:2" ht="36.75" customHeight="1" x14ac:dyDescent="0.25">
      <c r="A28" s="3" t="s">
        <v>2</v>
      </c>
      <c r="B28" s="4">
        <v>20</v>
      </c>
    </row>
    <row r="29" spans="1:2" ht="36.75" customHeight="1" x14ac:dyDescent="0.25">
      <c r="A29" s="3" t="s">
        <v>10</v>
      </c>
      <c r="B29" s="4">
        <v>40</v>
      </c>
    </row>
    <row r="30" spans="1:2" ht="36.75" customHeight="1" x14ac:dyDescent="0.25">
      <c r="A30" s="5" t="s">
        <v>4</v>
      </c>
      <c r="B30" s="4">
        <v>10</v>
      </c>
    </row>
    <row r="31" spans="1:2" ht="20.25" customHeight="1" x14ac:dyDescent="0.25">
      <c r="A31" s="8" t="s">
        <v>6</v>
      </c>
      <c r="B31" s="7">
        <f>SUM(B28:B30)</f>
        <v>70</v>
      </c>
    </row>
  </sheetData>
  <mergeCells count="1">
    <mergeCell ref="A1:B1"/>
  </mergeCells>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7"/>
  <sheetViews>
    <sheetView workbookViewId="0">
      <selection activeCell="A16" sqref="A16"/>
    </sheetView>
  </sheetViews>
  <sheetFormatPr defaultRowHeight="15" x14ac:dyDescent="0.25"/>
  <cols>
    <col min="3" max="3" width="55" customWidth="1"/>
    <col min="4" max="4" width="27.5703125" hidden="1" customWidth="1"/>
    <col min="5" max="5" width="18.5703125" customWidth="1"/>
    <col min="6" max="6" width="14.140625" customWidth="1"/>
    <col min="9" max="10" width="13.28515625" customWidth="1"/>
    <col min="12" max="12" width="14" customWidth="1"/>
    <col min="13" max="13" width="20.140625" customWidth="1"/>
    <col min="14" max="14" width="17.5703125" customWidth="1"/>
    <col min="15" max="15" width="15.140625" customWidth="1"/>
    <col min="16" max="16" width="20" customWidth="1"/>
    <col min="17" max="18" width="11.7109375" customWidth="1"/>
  </cols>
  <sheetData>
    <row r="1" spans="1:49" s="78" customFormat="1" ht="49.5" customHeight="1" x14ac:dyDescent="0.25">
      <c r="A1" s="158" t="s">
        <v>11</v>
      </c>
      <c r="B1" s="85" t="s">
        <v>12</v>
      </c>
      <c r="C1" s="113" t="s">
        <v>13</v>
      </c>
      <c r="D1" s="10" t="s">
        <v>87</v>
      </c>
      <c r="E1" s="10" t="s">
        <v>79</v>
      </c>
      <c r="F1" s="73" t="s">
        <v>78</v>
      </c>
      <c r="G1" s="4" t="s">
        <v>71</v>
      </c>
      <c r="H1" s="4" t="s">
        <v>72</v>
      </c>
      <c r="I1" s="4" t="s">
        <v>73</v>
      </c>
      <c r="J1" s="4" t="s">
        <v>74</v>
      </c>
      <c r="K1" s="4" t="s">
        <v>104</v>
      </c>
      <c r="L1" s="77" t="s">
        <v>76</v>
      </c>
      <c r="M1" s="128" t="s">
        <v>75</v>
      </c>
      <c r="N1" s="129" t="s">
        <v>80</v>
      </c>
      <c r="O1" s="77" t="s">
        <v>131</v>
      </c>
      <c r="P1" s="129" t="s">
        <v>105</v>
      </c>
      <c r="Q1" s="129" t="s">
        <v>81</v>
      </c>
      <c r="R1" s="129" t="s">
        <v>107</v>
      </c>
      <c r="S1" s="129" t="s">
        <v>82</v>
      </c>
      <c r="T1" s="129" t="s">
        <v>106</v>
      </c>
      <c r="U1" s="129" t="s">
        <v>99</v>
      </c>
      <c r="V1" s="129" t="s">
        <v>108</v>
      </c>
      <c r="W1" s="129" t="s">
        <v>83</v>
      </c>
      <c r="X1" s="129" t="s">
        <v>109</v>
      </c>
      <c r="Y1" s="129" t="s">
        <v>84</v>
      </c>
      <c r="Z1" s="129" t="s">
        <v>84</v>
      </c>
      <c r="AA1" s="129" t="s">
        <v>85</v>
      </c>
      <c r="AB1" s="129" t="s">
        <v>113</v>
      </c>
      <c r="AC1" s="129" t="s">
        <v>110</v>
      </c>
      <c r="AD1" s="129" t="s">
        <v>86</v>
      </c>
      <c r="AE1" s="129" t="s">
        <v>111</v>
      </c>
      <c r="AF1" s="147" t="s">
        <v>95</v>
      </c>
      <c r="AG1" s="147"/>
      <c r="AH1" s="127" t="s">
        <v>102</v>
      </c>
      <c r="AI1" s="129" t="s">
        <v>96</v>
      </c>
      <c r="AJ1" s="129" t="s">
        <v>100</v>
      </c>
      <c r="AK1" s="129" t="s">
        <v>103</v>
      </c>
      <c r="AL1" s="129" t="s">
        <v>101</v>
      </c>
      <c r="AM1" s="129" t="s">
        <v>98</v>
      </c>
      <c r="AN1" s="153" t="s">
        <v>97</v>
      </c>
      <c r="AO1" s="154" t="s">
        <v>130</v>
      </c>
      <c r="AP1" s="129" t="s">
        <v>114</v>
      </c>
    </row>
    <row r="2" spans="1:49" s="78" customFormat="1" ht="45" customHeight="1" x14ac:dyDescent="0.25">
      <c r="A2" s="159">
        <v>8</v>
      </c>
      <c r="B2" s="13"/>
      <c r="C2" s="162" t="s">
        <v>25</v>
      </c>
      <c r="D2" s="32"/>
      <c r="E2" s="10"/>
      <c r="F2" s="73"/>
      <c r="G2" s="4"/>
      <c r="H2" s="4"/>
      <c r="I2" s="4"/>
      <c r="J2" s="4"/>
      <c r="K2" s="4"/>
      <c r="L2" s="77">
        <v>0</v>
      </c>
      <c r="M2" s="128"/>
      <c r="N2" s="129"/>
      <c r="O2" s="77">
        <v>0</v>
      </c>
      <c r="P2" s="229"/>
      <c r="Q2" s="129"/>
      <c r="R2" s="229"/>
      <c r="S2" s="129"/>
      <c r="T2" s="229"/>
      <c r="U2" s="129"/>
      <c r="V2" s="229"/>
      <c r="W2" s="129"/>
      <c r="X2" s="229"/>
      <c r="Y2" s="129"/>
      <c r="Z2" s="229"/>
      <c r="AA2" s="129"/>
      <c r="AB2" s="229"/>
      <c r="AC2" s="229"/>
      <c r="AD2" s="129"/>
      <c r="AE2" s="229"/>
      <c r="AF2" s="147">
        <v>0</v>
      </c>
      <c r="AG2" s="147">
        <v>0</v>
      </c>
      <c r="AH2" s="127">
        <v>0</v>
      </c>
      <c r="AI2" s="129"/>
      <c r="AJ2" s="129"/>
      <c r="AK2" s="129">
        <v>0</v>
      </c>
      <c r="AL2" s="129"/>
      <c r="AM2" s="129"/>
      <c r="AN2" s="153">
        <v>0</v>
      </c>
      <c r="AO2" s="73">
        <v>9517181237</v>
      </c>
      <c r="AP2" s="129">
        <v>0</v>
      </c>
    </row>
    <row r="3" spans="1:49" s="78" customFormat="1" ht="88.5" customHeight="1" x14ac:dyDescent="0.25">
      <c r="A3" s="159"/>
      <c r="B3" s="15" t="s">
        <v>28</v>
      </c>
      <c r="C3" s="114" t="s">
        <v>29</v>
      </c>
      <c r="D3" s="10">
        <v>30</v>
      </c>
      <c r="E3" s="32">
        <v>150</v>
      </c>
      <c r="F3" s="73"/>
      <c r="G3" s="4">
        <v>0</v>
      </c>
      <c r="H3" s="4"/>
      <c r="I3" s="4">
        <v>250</v>
      </c>
      <c r="J3" s="4"/>
      <c r="K3" s="4"/>
      <c r="L3" s="86">
        <v>750</v>
      </c>
      <c r="M3" s="128">
        <v>21</v>
      </c>
      <c r="N3" s="129">
        <v>3150</v>
      </c>
      <c r="O3" s="77">
        <v>1150</v>
      </c>
      <c r="P3" s="250"/>
      <c r="Q3" s="129">
        <v>0</v>
      </c>
      <c r="R3" s="250"/>
      <c r="S3" s="129">
        <v>0</v>
      </c>
      <c r="T3" s="250"/>
      <c r="U3" s="129">
        <v>0</v>
      </c>
      <c r="V3" s="250"/>
      <c r="W3" s="129">
        <v>5250</v>
      </c>
      <c r="X3" s="250"/>
      <c r="Y3" s="129">
        <v>0</v>
      </c>
      <c r="Z3" s="250"/>
      <c r="AA3" s="129">
        <v>0</v>
      </c>
      <c r="AB3" s="250"/>
      <c r="AC3" s="250"/>
      <c r="AD3" s="129">
        <v>15750</v>
      </c>
      <c r="AE3" s="250"/>
      <c r="AF3" s="147">
        <v>0</v>
      </c>
      <c r="AG3" s="147">
        <v>0</v>
      </c>
      <c r="AH3" s="127">
        <v>0</v>
      </c>
      <c r="AI3" s="129">
        <v>0</v>
      </c>
      <c r="AJ3" s="129">
        <v>0</v>
      </c>
      <c r="AK3" s="129">
        <v>0</v>
      </c>
      <c r="AL3" s="129">
        <v>0</v>
      </c>
      <c r="AM3" s="129">
        <v>0</v>
      </c>
      <c r="AN3" s="153">
        <v>0</v>
      </c>
      <c r="AO3" s="73"/>
      <c r="AP3" s="129">
        <v>0</v>
      </c>
    </row>
    <row r="4" spans="1:49" s="78" customFormat="1" ht="95.25" customHeight="1" x14ac:dyDescent="0.25">
      <c r="A4" s="160"/>
      <c r="B4" s="155" t="s">
        <v>30</v>
      </c>
      <c r="C4" s="114" t="s">
        <v>132</v>
      </c>
      <c r="D4" s="161"/>
      <c r="E4" s="73">
        <v>1500</v>
      </c>
      <c r="F4" s="73">
        <v>14500</v>
      </c>
      <c r="G4" s="4">
        <v>11000</v>
      </c>
      <c r="H4" s="4">
        <v>2500</v>
      </c>
      <c r="I4" s="4">
        <v>1000</v>
      </c>
      <c r="J4" s="4">
        <v>1500</v>
      </c>
      <c r="K4" s="4">
        <v>5000</v>
      </c>
      <c r="L4" s="77">
        <v>7500</v>
      </c>
      <c r="M4" s="128">
        <v>23</v>
      </c>
      <c r="N4" s="129">
        <v>34500</v>
      </c>
      <c r="O4" s="77">
        <v>44500</v>
      </c>
      <c r="P4" s="129"/>
      <c r="Q4" s="129">
        <v>333500</v>
      </c>
      <c r="R4" s="129"/>
      <c r="S4" s="129">
        <v>253000</v>
      </c>
      <c r="T4" s="129"/>
      <c r="U4" s="129">
        <v>57500</v>
      </c>
      <c r="V4" s="129"/>
      <c r="W4" s="129">
        <v>23000</v>
      </c>
      <c r="X4" s="129"/>
      <c r="Y4" s="129">
        <v>34500</v>
      </c>
      <c r="Z4" s="129"/>
      <c r="AA4" s="129">
        <v>115000</v>
      </c>
      <c r="AB4" s="129"/>
      <c r="AC4" s="129"/>
      <c r="AD4" s="129">
        <v>172500</v>
      </c>
      <c r="AE4" s="129"/>
      <c r="AF4" s="147">
        <v>0</v>
      </c>
      <c r="AG4" s="147">
        <v>0</v>
      </c>
      <c r="AH4" s="127">
        <v>0</v>
      </c>
      <c r="AI4" s="129">
        <v>0</v>
      </c>
      <c r="AJ4" s="129">
        <v>0</v>
      </c>
      <c r="AK4" s="129">
        <v>0</v>
      </c>
      <c r="AL4" s="129">
        <v>0</v>
      </c>
      <c r="AM4" s="129">
        <v>0</v>
      </c>
      <c r="AN4" s="153">
        <v>0</v>
      </c>
      <c r="AO4" s="73"/>
      <c r="AP4" s="129">
        <v>0</v>
      </c>
    </row>
    <row r="5" spans="1:49" ht="36" customHeight="1" x14ac:dyDescent="0.25">
      <c r="B5" t="s">
        <v>15</v>
      </c>
      <c r="C5" s="266" t="s">
        <v>59</v>
      </c>
      <c r="D5" s="266"/>
      <c r="E5" s="266"/>
      <c r="F5" s="266"/>
      <c r="G5" s="266"/>
      <c r="H5" s="266"/>
      <c r="O5">
        <v>0</v>
      </c>
      <c r="Z5" t="s">
        <v>112</v>
      </c>
      <c r="AB5" t="s">
        <v>112</v>
      </c>
      <c r="AG5">
        <v>0</v>
      </c>
      <c r="AK5">
        <v>0</v>
      </c>
      <c r="AN5">
        <v>0</v>
      </c>
      <c r="AP5">
        <v>0</v>
      </c>
    </row>
    <row r="7" spans="1:49" ht="21" x14ac:dyDescent="0.25">
      <c r="A7" s="159">
        <v>9</v>
      </c>
      <c r="C7" s="163" t="s">
        <v>31</v>
      </c>
      <c r="O7">
        <v>0</v>
      </c>
      <c r="AF7">
        <v>0</v>
      </c>
      <c r="AG7">
        <v>0</v>
      </c>
      <c r="AH7">
        <v>0</v>
      </c>
      <c r="AK7">
        <v>0</v>
      </c>
      <c r="AN7">
        <v>0</v>
      </c>
      <c r="AP7">
        <v>0</v>
      </c>
    </row>
    <row r="8" spans="1:49" ht="75" x14ac:dyDescent="0.25">
      <c r="A8" s="164"/>
      <c r="B8" s="15" t="s">
        <v>28</v>
      </c>
      <c r="C8" s="165" t="s">
        <v>53</v>
      </c>
      <c r="D8" s="164">
        <v>80</v>
      </c>
      <c r="E8" s="164">
        <v>400</v>
      </c>
      <c r="F8" s="164">
        <v>100</v>
      </c>
      <c r="G8" s="164">
        <v>750</v>
      </c>
      <c r="H8" s="164"/>
      <c r="I8" s="164">
        <v>1000</v>
      </c>
      <c r="J8" s="164">
        <v>600</v>
      </c>
      <c r="K8" s="164">
        <v>900</v>
      </c>
      <c r="L8" s="164">
        <v>1200</v>
      </c>
      <c r="M8" s="164">
        <v>10</v>
      </c>
      <c r="N8" s="164">
        <v>4000</v>
      </c>
      <c r="O8" s="164">
        <v>4950</v>
      </c>
      <c r="P8" s="164"/>
      <c r="Q8" s="164">
        <v>1000</v>
      </c>
      <c r="R8" s="164"/>
      <c r="S8" s="164">
        <v>7500</v>
      </c>
      <c r="T8" s="164"/>
      <c r="U8" s="164">
        <v>0</v>
      </c>
      <c r="V8" s="164"/>
      <c r="W8" s="164">
        <v>10000</v>
      </c>
      <c r="X8" s="164"/>
      <c r="Y8" s="164">
        <v>6000</v>
      </c>
      <c r="Z8" s="164"/>
      <c r="AA8" s="164">
        <v>9000</v>
      </c>
      <c r="AB8" s="164"/>
      <c r="AC8" s="164"/>
      <c r="AD8" s="164">
        <v>12000</v>
      </c>
      <c r="AE8" s="164"/>
      <c r="AF8" s="164"/>
      <c r="AG8" s="164">
        <v>0</v>
      </c>
      <c r="AH8" s="164">
        <v>0</v>
      </c>
      <c r="AI8" s="164">
        <v>0</v>
      </c>
      <c r="AJ8" s="164">
        <v>0</v>
      </c>
      <c r="AK8" s="164">
        <v>0</v>
      </c>
      <c r="AL8" s="164">
        <v>0</v>
      </c>
      <c r="AM8" s="164">
        <v>0</v>
      </c>
      <c r="AN8" s="164">
        <v>0</v>
      </c>
      <c r="AO8" s="164"/>
      <c r="AP8">
        <v>0</v>
      </c>
    </row>
    <row r="9" spans="1:49" ht="45" x14ac:dyDescent="0.25">
      <c r="A9" s="164"/>
      <c r="B9" s="15" t="s">
        <v>30</v>
      </c>
      <c r="C9" s="165" t="s">
        <v>32</v>
      </c>
      <c r="D9" s="164">
        <v>40</v>
      </c>
      <c r="E9" s="164">
        <v>200</v>
      </c>
      <c r="F9" s="164"/>
      <c r="G9" s="164">
        <v>0</v>
      </c>
      <c r="H9" s="164"/>
      <c r="I9" s="164">
        <v>150</v>
      </c>
      <c r="J9" s="164">
        <v>300</v>
      </c>
      <c r="K9" s="164">
        <v>225</v>
      </c>
      <c r="L9" s="164">
        <v>2000</v>
      </c>
      <c r="M9" s="164">
        <v>56</v>
      </c>
      <c r="N9" s="164">
        <v>11200</v>
      </c>
      <c r="O9" s="164">
        <v>2875</v>
      </c>
      <c r="P9" s="164"/>
      <c r="Q9" s="164">
        <v>0</v>
      </c>
      <c r="R9" s="164"/>
      <c r="S9" s="164">
        <v>0</v>
      </c>
      <c r="T9" s="164"/>
      <c r="U9" s="164">
        <v>0</v>
      </c>
      <c r="V9" s="164"/>
      <c r="W9" s="164">
        <v>8400</v>
      </c>
      <c r="X9" s="164"/>
      <c r="Y9" s="164">
        <v>16800</v>
      </c>
      <c r="Z9" s="164"/>
      <c r="AA9" s="164">
        <v>12600</v>
      </c>
      <c r="AB9" s="164"/>
      <c r="AC9" s="164"/>
      <c r="AD9" s="164">
        <v>112000</v>
      </c>
      <c r="AE9" s="164"/>
      <c r="AF9" s="164">
        <v>0</v>
      </c>
      <c r="AG9" s="164">
        <v>0</v>
      </c>
      <c r="AH9" s="164">
        <v>0</v>
      </c>
      <c r="AI9" s="164">
        <v>0</v>
      </c>
      <c r="AJ9" s="164">
        <v>0</v>
      </c>
      <c r="AK9" s="164">
        <v>0</v>
      </c>
      <c r="AL9" s="164">
        <v>0</v>
      </c>
      <c r="AM9" s="164">
        <v>0</v>
      </c>
      <c r="AN9" s="164">
        <v>0</v>
      </c>
      <c r="AO9" s="164"/>
      <c r="AP9">
        <v>0</v>
      </c>
    </row>
    <row r="10" spans="1:49" ht="60" customHeight="1" x14ac:dyDescent="0.25">
      <c r="A10" s="164"/>
      <c r="B10" s="164" t="s">
        <v>15</v>
      </c>
      <c r="C10" s="265" t="s">
        <v>59</v>
      </c>
      <c r="D10" s="265"/>
      <c r="E10" s="265"/>
      <c r="F10" s="265"/>
      <c r="G10" s="265"/>
      <c r="H10" s="265"/>
      <c r="I10" s="164"/>
      <c r="J10" s="164"/>
      <c r="K10" s="164"/>
      <c r="L10" s="164"/>
      <c r="M10" s="164"/>
      <c r="N10" s="164"/>
      <c r="O10" s="164">
        <v>0</v>
      </c>
      <c r="P10" s="164"/>
      <c r="Q10" s="164"/>
      <c r="R10" s="164"/>
      <c r="S10" s="164"/>
      <c r="T10" s="164"/>
      <c r="U10" s="164"/>
      <c r="V10" s="164"/>
      <c r="W10" s="164"/>
      <c r="X10" s="164"/>
      <c r="Y10" s="164"/>
      <c r="Z10" s="164"/>
      <c r="AA10" s="164"/>
      <c r="AB10" s="164"/>
      <c r="AC10" s="164"/>
      <c r="AD10" s="164"/>
      <c r="AE10" s="164"/>
      <c r="AF10" s="164">
        <v>0</v>
      </c>
      <c r="AG10" s="164">
        <v>0</v>
      </c>
      <c r="AH10" s="164">
        <v>0</v>
      </c>
      <c r="AI10" s="164"/>
      <c r="AJ10" s="164"/>
      <c r="AK10" s="164">
        <v>0</v>
      </c>
      <c r="AL10" s="164"/>
      <c r="AM10" s="164"/>
      <c r="AN10" s="164">
        <v>0</v>
      </c>
      <c r="AO10" s="164"/>
      <c r="AP10">
        <v>0</v>
      </c>
    </row>
    <row r="11" spans="1:49" s="98" customFormat="1" ht="20.25" customHeight="1" x14ac:dyDescent="0.25">
      <c r="A11" s="222">
        <v>12</v>
      </c>
      <c r="B11" s="157"/>
      <c r="C11" s="166" t="s">
        <v>60</v>
      </c>
      <c r="D11" s="18"/>
      <c r="E11" s="18"/>
      <c r="F11" s="48"/>
      <c r="G11" s="94"/>
      <c r="H11" s="99"/>
      <c r="I11" s="93"/>
      <c r="J11" s="42"/>
      <c r="K11" s="93"/>
      <c r="L11" s="42"/>
      <c r="M11" s="93"/>
      <c r="N11" s="42"/>
      <c r="O11" s="93"/>
      <c r="P11" s="35">
        <v>0</v>
      </c>
      <c r="Q11" s="93"/>
      <c r="R11" s="60"/>
      <c r="S11" s="97"/>
      <c r="T11" s="132"/>
      <c r="U11" s="147"/>
      <c r="V11" s="97">
        <f t="shared" ref="V11:V14" si="0">S11+Q11+O11+M11+K11+I11+G11+E11</f>
        <v>0</v>
      </c>
      <c r="W11" s="147"/>
      <c r="X11" s="147"/>
      <c r="Y11" s="147"/>
      <c r="Z11" s="147"/>
      <c r="AA11" s="147"/>
      <c r="AB11" s="147"/>
      <c r="AC11" s="147"/>
      <c r="AD11" s="147"/>
      <c r="AE11" s="147"/>
      <c r="AF11" s="147"/>
      <c r="AG11" s="147"/>
      <c r="AH11" s="147"/>
      <c r="AI11" s="147"/>
      <c r="AJ11" s="147"/>
      <c r="AK11" s="147"/>
      <c r="AL11" s="147"/>
      <c r="AM11" s="147">
        <f t="shared" ref="AM11:AM14" si="1">AL11+AJ11+AI11+AE11+AC11+AA11+Y11+W11</f>
        <v>0</v>
      </c>
      <c r="AN11" s="147">
        <f t="shared" ref="AN11:AN15" si="2">AM11/5/2</f>
        <v>0</v>
      </c>
      <c r="AO11" s="167">
        <f t="shared" ref="AO11:AO14" si="3">AM11/2</f>
        <v>0</v>
      </c>
      <c r="AP11" s="147"/>
      <c r="AQ11" s="147"/>
      <c r="AR11" s="147">
        <f t="shared" ref="AR11:AR14" si="4">AP11*30/100</f>
        <v>0</v>
      </c>
      <c r="AS11" s="147"/>
      <c r="AT11" s="147"/>
      <c r="AU11" s="168">
        <f t="shared" ref="AU11:AU14" si="5">AT11+AS11+AR11+AQ11+AP11</f>
        <v>0</v>
      </c>
      <c r="AV11" s="94"/>
      <c r="AW11" s="147">
        <f t="shared" ref="AW11:AW14" si="6">AU11-AM11</f>
        <v>0</v>
      </c>
    </row>
    <row r="12" spans="1:49" s="98" customFormat="1" ht="48" customHeight="1" x14ac:dyDescent="0.25">
      <c r="A12" s="223"/>
      <c r="B12" s="19" t="s">
        <v>30</v>
      </c>
      <c r="C12" s="121" t="s">
        <v>36</v>
      </c>
      <c r="D12" s="11">
        <v>50</v>
      </c>
      <c r="E12" s="11">
        <f>50*5</f>
        <v>250</v>
      </c>
      <c r="F12" s="48">
        <v>60</v>
      </c>
      <c r="G12" s="94">
        <v>300</v>
      </c>
      <c r="H12" s="48"/>
      <c r="I12" s="93"/>
      <c r="J12" s="35" t="s">
        <v>77</v>
      </c>
      <c r="K12" s="93"/>
      <c r="L12" s="35">
        <v>50</v>
      </c>
      <c r="M12" s="93">
        <v>250</v>
      </c>
      <c r="N12" s="35"/>
      <c r="O12" s="93"/>
      <c r="P12" s="35">
        <v>12</v>
      </c>
      <c r="Q12" s="93">
        <v>60</v>
      </c>
      <c r="R12" s="55">
        <v>0</v>
      </c>
      <c r="S12" s="97">
        <v>0</v>
      </c>
      <c r="T12" s="130">
        <v>6</v>
      </c>
      <c r="U12" s="147">
        <f>T12*E12</f>
        <v>1500</v>
      </c>
      <c r="V12" s="97">
        <f t="shared" si="0"/>
        <v>860</v>
      </c>
      <c r="W12" s="242"/>
      <c r="X12" s="147">
        <f>T12*G12</f>
        <v>1800</v>
      </c>
      <c r="Y12" s="242"/>
      <c r="Z12" s="147">
        <f>T12*I12</f>
        <v>0</v>
      </c>
      <c r="AA12" s="242"/>
      <c r="AB12" s="147">
        <f>T12*K12</f>
        <v>0</v>
      </c>
      <c r="AC12" s="242"/>
      <c r="AD12" s="147">
        <f>T12*M12</f>
        <v>1500</v>
      </c>
      <c r="AE12" s="242"/>
      <c r="AF12" s="147">
        <f>T12*O12</f>
        <v>0</v>
      </c>
      <c r="AG12" s="242"/>
      <c r="AH12" s="147">
        <f>T12*Q12</f>
        <v>360</v>
      </c>
      <c r="AI12" s="242"/>
      <c r="AJ12" s="242"/>
      <c r="AK12" s="147">
        <f>T12*S12</f>
        <v>0</v>
      </c>
      <c r="AL12" s="242"/>
      <c r="AM12" s="147">
        <f t="shared" si="1"/>
        <v>0</v>
      </c>
      <c r="AN12" s="147">
        <f t="shared" si="2"/>
        <v>0</v>
      </c>
      <c r="AO12" s="167">
        <f t="shared" si="3"/>
        <v>0</v>
      </c>
      <c r="AP12" s="147">
        <f>AM12+AO12</f>
        <v>0</v>
      </c>
      <c r="AQ12" s="147">
        <f t="shared" ref="AQ12:AQ13" si="7">AP12*20/100</f>
        <v>0</v>
      </c>
      <c r="AR12" s="147">
        <f t="shared" si="4"/>
        <v>0</v>
      </c>
      <c r="AS12" s="147">
        <f t="shared" ref="AS12:AS13" si="8">(AP12+AQ12)/60*12</f>
        <v>0</v>
      </c>
      <c r="AT12" s="147">
        <f t="shared" ref="AT12:AT13" si="9">(AP12+AQ12+AS12)/60*6</f>
        <v>0</v>
      </c>
      <c r="AU12" s="168">
        <f t="shared" si="5"/>
        <v>0</v>
      </c>
      <c r="AV12" s="94"/>
      <c r="AW12" s="147">
        <f t="shared" si="6"/>
        <v>0</v>
      </c>
    </row>
    <row r="13" spans="1:49" s="98" customFormat="1" ht="56.25" customHeight="1" x14ac:dyDescent="0.25">
      <c r="A13" s="223"/>
      <c r="B13" s="19" t="s">
        <v>37</v>
      </c>
      <c r="C13" s="121" t="s">
        <v>38</v>
      </c>
      <c r="D13" s="11">
        <v>150</v>
      </c>
      <c r="E13" s="11">
        <f>150*5</f>
        <v>750</v>
      </c>
      <c r="F13" s="48">
        <v>60</v>
      </c>
      <c r="G13" s="94">
        <v>300</v>
      </c>
      <c r="H13" s="48"/>
      <c r="I13" s="93"/>
      <c r="J13" s="35" t="s">
        <v>77</v>
      </c>
      <c r="K13" s="93"/>
      <c r="L13" s="35">
        <v>100</v>
      </c>
      <c r="M13" s="93">
        <v>500</v>
      </c>
      <c r="N13" s="35">
        <v>70</v>
      </c>
      <c r="O13" s="93">
        <v>350</v>
      </c>
      <c r="P13" s="35">
        <v>24</v>
      </c>
      <c r="Q13" s="93">
        <v>120</v>
      </c>
      <c r="R13" s="55">
        <v>30</v>
      </c>
      <c r="S13" s="97">
        <v>150</v>
      </c>
      <c r="T13" s="130">
        <v>5</v>
      </c>
      <c r="U13" s="147">
        <f>T13*E13</f>
        <v>3750</v>
      </c>
      <c r="V13" s="97">
        <f t="shared" si="0"/>
        <v>2170</v>
      </c>
      <c r="W13" s="232"/>
      <c r="X13" s="147">
        <f>T13*G13</f>
        <v>1500</v>
      </c>
      <c r="Y13" s="232"/>
      <c r="Z13" s="147">
        <f>T13*I13</f>
        <v>0</v>
      </c>
      <c r="AA13" s="232"/>
      <c r="AB13" s="147">
        <f>T13*K13</f>
        <v>0</v>
      </c>
      <c r="AC13" s="232"/>
      <c r="AD13" s="147">
        <f>T13*M13</f>
        <v>2500</v>
      </c>
      <c r="AE13" s="232"/>
      <c r="AF13" s="147">
        <f>T13*O13</f>
        <v>1750</v>
      </c>
      <c r="AG13" s="232"/>
      <c r="AH13" s="147">
        <f>T13*Q13</f>
        <v>600</v>
      </c>
      <c r="AI13" s="232"/>
      <c r="AJ13" s="232"/>
      <c r="AK13" s="147">
        <f>T13*S13</f>
        <v>750</v>
      </c>
      <c r="AL13" s="232"/>
      <c r="AM13" s="147">
        <f t="shared" si="1"/>
        <v>0</v>
      </c>
      <c r="AN13" s="147">
        <f t="shared" si="2"/>
        <v>0</v>
      </c>
      <c r="AO13" s="167">
        <f t="shared" si="3"/>
        <v>0</v>
      </c>
      <c r="AP13" s="147">
        <f>AM13+AO13</f>
        <v>0</v>
      </c>
      <c r="AQ13" s="147">
        <f t="shared" si="7"/>
        <v>0</v>
      </c>
      <c r="AR13" s="147">
        <f t="shared" si="4"/>
        <v>0</v>
      </c>
      <c r="AS13" s="147">
        <f t="shared" si="8"/>
        <v>0</v>
      </c>
      <c r="AT13" s="147">
        <f t="shared" si="9"/>
        <v>0</v>
      </c>
      <c r="AU13" s="168">
        <f t="shared" si="5"/>
        <v>0</v>
      </c>
      <c r="AV13" s="94"/>
      <c r="AW13" s="147">
        <f t="shared" si="6"/>
        <v>0</v>
      </c>
    </row>
    <row r="14" spans="1:49" s="98" customFormat="1" ht="24" customHeight="1" x14ac:dyDescent="0.25">
      <c r="A14" s="224"/>
      <c r="B14" s="20" t="s">
        <v>15</v>
      </c>
      <c r="C14" s="225" t="s">
        <v>51</v>
      </c>
      <c r="D14" s="226"/>
      <c r="E14" s="226"/>
      <c r="F14" s="100"/>
      <c r="G14" s="94"/>
      <c r="H14" s="99"/>
      <c r="I14" s="93"/>
      <c r="J14" s="95"/>
      <c r="K14" s="93"/>
      <c r="L14" s="96"/>
      <c r="M14" s="93"/>
      <c r="N14" s="96"/>
      <c r="O14" s="93"/>
      <c r="P14" s="35"/>
      <c r="Q14" s="93"/>
      <c r="R14" s="101"/>
      <c r="S14" s="97">
        <v>0</v>
      </c>
      <c r="T14" s="132"/>
      <c r="U14" s="129"/>
      <c r="V14" s="77">
        <f t="shared" si="0"/>
        <v>0</v>
      </c>
      <c r="W14" s="129"/>
      <c r="X14" s="129"/>
      <c r="Y14" s="129"/>
      <c r="Z14" s="129"/>
      <c r="AA14" s="129"/>
      <c r="AB14" s="129"/>
      <c r="AC14" s="129"/>
      <c r="AD14" s="129"/>
      <c r="AE14" s="129"/>
      <c r="AF14" s="129"/>
      <c r="AG14" s="129"/>
      <c r="AH14" s="129"/>
      <c r="AI14" s="129"/>
      <c r="AJ14" s="129"/>
      <c r="AK14" s="129"/>
      <c r="AL14" s="129"/>
      <c r="AM14" s="147">
        <f t="shared" si="1"/>
        <v>0</v>
      </c>
      <c r="AN14" s="147">
        <f t="shared" si="2"/>
        <v>0</v>
      </c>
      <c r="AO14" s="127">
        <f t="shared" si="3"/>
        <v>0</v>
      </c>
      <c r="AP14" s="129"/>
      <c r="AQ14" s="129"/>
      <c r="AR14" s="129">
        <f t="shared" si="4"/>
        <v>0</v>
      </c>
      <c r="AS14" s="129"/>
      <c r="AT14" s="129"/>
      <c r="AU14" s="153">
        <f t="shared" si="5"/>
        <v>0</v>
      </c>
      <c r="AV14" s="94"/>
      <c r="AW14" s="129">
        <f t="shared" si="6"/>
        <v>0</v>
      </c>
    </row>
    <row r="15" spans="1:49" s="98" customFormat="1" ht="24" customHeight="1" x14ac:dyDescent="0.25">
      <c r="B15" s="197"/>
      <c r="C15" s="123" t="s">
        <v>61</v>
      </c>
      <c r="D15" s="196"/>
      <c r="E15" s="103"/>
      <c r="F15" s="104"/>
      <c r="G15" s="94"/>
      <c r="H15" s="99"/>
      <c r="I15" s="93"/>
      <c r="J15" s="103"/>
      <c r="K15" s="93"/>
      <c r="L15" s="103"/>
      <c r="M15" s="93"/>
      <c r="N15" s="103"/>
      <c r="O15" s="93"/>
      <c r="P15" s="96"/>
      <c r="Q15" s="93"/>
      <c r="R15" s="105"/>
      <c r="S15" s="97"/>
      <c r="T15" s="132"/>
      <c r="U15" s="129"/>
      <c r="V15" s="77"/>
      <c r="W15" s="129"/>
      <c r="X15" s="129"/>
      <c r="Y15" s="129"/>
      <c r="Z15" s="129"/>
      <c r="AA15" s="129"/>
      <c r="AB15" s="129"/>
      <c r="AC15" s="129"/>
      <c r="AD15" s="129"/>
      <c r="AE15" s="129"/>
      <c r="AF15" s="147"/>
      <c r="AG15" s="147"/>
      <c r="AH15" s="129"/>
      <c r="AI15" s="129"/>
      <c r="AJ15" s="129"/>
      <c r="AK15" s="129"/>
      <c r="AL15" s="129"/>
      <c r="AM15" s="147"/>
      <c r="AN15" s="147">
        <f t="shared" si="2"/>
        <v>0</v>
      </c>
      <c r="AO15" s="127"/>
      <c r="AP15" s="129"/>
      <c r="AQ15" s="129"/>
      <c r="AR15" s="129"/>
      <c r="AS15" s="129"/>
      <c r="AT15" s="129"/>
      <c r="AU15" s="153"/>
      <c r="AV15" s="94"/>
      <c r="AW15" s="129"/>
    </row>
    <row r="16" spans="1:49" s="98" customFormat="1" ht="48" customHeight="1" x14ac:dyDescent="0.25">
      <c r="A16" s="198">
        <v>13</v>
      </c>
      <c r="B16" s="14" t="s">
        <v>43</v>
      </c>
      <c r="C16" s="121" t="s">
        <v>44</v>
      </c>
      <c r="D16" s="11">
        <v>30</v>
      </c>
      <c r="E16" s="11">
        <f>30*5</f>
        <v>150</v>
      </c>
      <c r="F16" s="54"/>
      <c r="G16" s="94">
        <v>0</v>
      </c>
      <c r="H16" s="99"/>
      <c r="I16" s="93">
        <v>0</v>
      </c>
      <c r="J16" s="34" t="s">
        <v>77</v>
      </c>
      <c r="K16" s="93">
        <v>0</v>
      </c>
      <c r="L16" s="44">
        <v>10</v>
      </c>
      <c r="M16" s="93">
        <v>50</v>
      </c>
      <c r="N16" s="44">
        <v>30</v>
      </c>
      <c r="O16" s="93">
        <v>150</v>
      </c>
      <c r="P16" s="44"/>
      <c r="Q16" s="93">
        <v>0</v>
      </c>
      <c r="R16" s="63">
        <v>0</v>
      </c>
      <c r="S16" s="97">
        <v>0</v>
      </c>
      <c r="T16" s="180">
        <v>250</v>
      </c>
      <c r="U16" s="129">
        <f>T16*E16</f>
        <v>37500</v>
      </c>
      <c r="V16" s="77">
        <f t="shared" ref="V16" si="10">S16+Q16+O16+M16+K16+I16+G16+E16</f>
        <v>350</v>
      </c>
      <c r="W16" s="195"/>
      <c r="X16" s="129">
        <f>T16*G16</f>
        <v>0</v>
      </c>
      <c r="Y16" s="195"/>
      <c r="Z16" s="129">
        <f>T16*I16</f>
        <v>0</v>
      </c>
      <c r="AA16" s="195"/>
      <c r="AB16" s="129">
        <f>T16*K16</f>
        <v>0</v>
      </c>
      <c r="AC16" s="195"/>
      <c r="AD16" s="129">
        <f>T16*M16</f>
        <v>12500</v>
      </c>
      <c r="AE16" s="195"/>
      <c r="AF16" s="147">
        <f>T16*O16</f>
        <v>37500</v>
      </c>
      <c r="AG16" s="194"/>
      <c r="AH16" s="129">
        <f>T16*Q16</f>
        <v>0</v>
      </c>
      <c r="AI16" s="195"/>
      <c r="AJ16" s="195"/>
      <c r="AK16" s="129">
        <f>T16*S16</f>
        <v>0</v>
      </c>
      <c r="AL16" s="195"/>
      <c r="AM16" s="192"/>
      <c r="AN16" s="147"/>
      <c r="AO16" s="192"/>
      <c r="AP16" s="192"/>
      <c r="AQ16" s="192"/>
      <c r="AR16" s="192"/>
      <c r="AS16" s="192"/>
      <c r="AT16" s="192"/>
      <c r="AU16" s="192"/>
      <c r="AV16" s="193"/>
      <c r="AW16" s="192"/>
    </row>
    <row r="17" spans="1:41" x14ac:dyDescent="0.25">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row>
    <row r="18" spans="1:41" x14ac:dyDescent="0.25">
      <c r="A18" s="164"/>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row>
    <row r="19" spans="1:41" x14ac:dyDescent="0.25">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row>
    <row r="20" spans="1:41" x14ac:dyDescent="0.25">
      <c r="A20" s="164"/>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row>
    <row r="21" spans="1:41" x14ac:dyDescent="0.25">
      <c r="A21" s="1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row>
    <row r="22" spans="1:41" x14ac:dyDescent="0.25">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row>
    <row r="23" spans="1:41" x14ac:dyDescent="0.25">
      <c r="A23" s="164"/>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row>
    <row r="24" spans="1:41" x14ac:dyDescent="0.25">
      <c r="A24" s="164"/>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row>
    <row r="25" spans="1:41" x14ac:dyDescent="0.25">
      <c r="A25" s="164"/>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row>
    <row r="26" spans="1:41" x14ac:dyDescent="0.25">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row>
    <row r="27" spans="1:41" x14ac:dyDescent="0.25">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row>
    <row r="28" spans="1:41" x14ac:dyDescent="0.25">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row>
    <row r="29" spans="1:41" x14ac:dyDescent="0.25">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row>
    <row r="30" spans="1:41" x14ac:dyDescent="0.25">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row>
    <row r="31" spans="1:41" x14ac:dyDescent="0.25">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row>
    <row r="32" spans="1:41" x14ac:dyDescent="0.25">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row>
    <row r="33" spans="1:41" x14ac:dyDescent="0.25">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row>
    <row r="34" spans="1:41" x14ac:dyDescent="0.25">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row>
    <row r="35" spans="1:41" x14ac:dyDescent="0.25">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row>
    <row r="36" spans="1:41" x14ac:dyDescent="0.25">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row>
    <row r="37" spans="1:41" x14ac:dyDescent="0.25">
      <c r="A37" s="164"/>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row>
  </sheetData>
  <mergeCells count="22">
    <mergeCell ref="AJ12:AJ13"/>
    <mergeCell ref="AL12:AL13"/>
    <mergeCell ref="C14:E14"/>
    <mergeCell ref="AA12:AA13"/>
    <mergeCell ref="AC12:AC13"/>
    <mergeCell ref="AE12:AE13"/>
    <mergeCell ref="AG12:AG13"/>
    <mergeCell ref="AI12:AI13"/>
    <mergeCell ref="C10:H10"/>
    <mergeCell ref="C5:H5"/>
    <mergeCell ref="A11:A14"/>
    <mergeCell ref="W12:W13"/>
    <mergeCell ref="Y12:Y13"/>
    <mergeCell ref="AB2:AB3"/>
    <mergeCell ref="AC2:AC3"/>
    <mergeCell ref="AE2:AE3"/>
    <mergeCell ref="P2:P3"/>
    <mergeCell ref="R2:R3"/>
    <mergeCell ref="T2:T3"/>
    <mergeCell ref="V2:V3"/>
    <mergeCell ref="X2:X3"/>
    <mergeCell ref="Z2:Z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REQUISITI TECNICI</vt:lpstr>
      <vt:lpstr>CRITERI DI VALUTAZIONE</vt:lpstr>
      <vt:lpstr>NUOVA RDO</vt:lpstr>
      <vt:lpstr>'REQUISITI TECNICI'!Area_stampa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2023-02-13T09:29:25Z</dcterms:modified>
</cp:coreProperties>
</file>