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25" yWindow="435" windowWidth="12165" windowHeight="9630"/>
  </bookViews>
  <sheets>
    <sheet name="CARCERI 2022" sheetId="8" r:id="rId1"/>
  </sheets>
  <definedNames>
    <definedName name="_xlnm._FilterDatabase" localSheetId="0" hidden="1">'CARCERI 2022'!$A$2:$P$242</definedName>
    <definedName name="_xlnm.Print_Titles" localSheetId="0">'CARCERI 2022'!$2:$2</definedName>
  </definedNames>
  <calcPr calcId="145621"/>
</workbook>
</file>

<file path=xl/calcChain.xml><?xml version="1.0" encoding="utf-8"?>
<calcChain xmlns="http://schemas.openxmlformats.org/spreadsheetml/2006/main">
  <c r="H238" i="8" l="1"/>
  <c r="K238" i="8" s="1"/>
  <c r="H203" i="8"/>
  <c r="H179" i="8"/>
  <c r="H178" i="8"/>
  <c r="H157" i="8"/>
  <c r="N238" i="8" l="1"/>
  <c r="H141" i="8"/>
  <c r="K141" i="8" s="1"/>
  <c r="H140" i="8"/>
  <c r="K140" i="8" s="1"/>
  <c r="H139" i="8"/>
  <c r="H138" i="8"/>
  <c r="H136" i="8"/>
  <c r="H134" i="8"/>
  <c r="H110" i="8"/>
  <c r="N110" i="8" s="1"/>
  <c r="H109" i="8"/>
  <c r="N109" i="8" s="1"/>
  <c r="H108" i="8"/>
  <c r="N108" i="8" s="1"/>
  <c r="H94" i="8"/>
  <c r="H92" i="8"/>
  <c r="H79" i="8"/>
  <c r="H70" i="8"/>
  <c r="H68" i="8"/>
  <c r="N68" i="8" s="1"/>
  <c r="H65" i="8"/>
  <c r="H38" i="8"/>
  <c r="N140" i="8" l="1"/>
  <c r="N141" i="8"/>
  <c r="H236" i="8"/>
  <c r="H235" i="8"/>
  <c r="H234" i="8"/>
  <c r="H233" i="8"/>
  <c r="H232" i="8"/>
  <c r="H231" i="8"/>
  <c r="H230" i="8"/>
  <c r="H229" i="8"/>
  <c r="H228" i="8"/>
  <c r="H226" i="8"/>
  <c r="H225" i="8"/>
  <c r="H223" i="8"/>
  <c r="H222" i="8"/>
  <c r="H221" i="8"/>
  <c r="H220" i="8"/>
  <c r="H216" i="8"/>
  <c r="H215" i="8" l="1"/>
  <c r="H212" i="8"/>
  <c r="H211" i="8"/>
  <c r="H210" i="8"/>
  <c r="H209" i="8"/>
  <c r="H208" i="8"/>
  <c r="H207" i="8"/>
  <c r="H206" i="8"/>
  <c r="H204" i="8"/>
  <c r="H200" i="8"/>
  <c r="H199" i="8"/>
  <c r="H198" i="8"/>
  <c r="H197" i="8"/>
  <c r="H196" i="8"/>
  <c r="H195" i="8"/>
  <c r="H194" i="8"/>
  <c r="H193" i="8"/>
  <c r="H192" i="8"/>
  <c r="H191" i="8"/>
  <c r="H189" i="8"/>
  <c r="H186" i="8"/>
  <c r="H185" i="8"/>
  <c r="H183" i="8"/>
  <c r="H181" i="8"/>
  <c r="H180" i="8"/>
  <c r="H177" i="8"/>
  <c r="H175" i="8"/>
  <c r="H176" i="8"/>
  <c r="H174" i="8"/>
  <c r="H173" i="8"/>
  <c r="H171" i="8"/>
  <c r="H169" i="8"/>
  <c r="H167" i="8"/>
  <c r="H166" i="8"/>
  <c r="H164" i="8"/>
  <c r="H162" i="8"/>
  <c r="H160" i="8"/>
  <c r="H158" i="8"/>
  <c r="H156" i="8"/>
  <c r="H154" i="8"/>
  <c r="H152" i="8"/>
  <c r="H150" i="8"/>
  <c r="H148" i="8"/>
  <c r="H104" i="8"/>
  <c r="H102" i="8"/>
  <c r="H99" i="8"/>
  <c r="H97" i="8"/>
  <c r="H95" i="8"/>
  <c r="H93" i="8"/>
  <c r="H91" i="8"/>
  <c r="H89" i="8"/>
  <c r="H87" i="8"/>
  <c r="H85" i="8"/>
  <c r="H83" i="8"/>
  <c r="H81" i="8"/>
  <c r="H80" i="8"/>
  <c r="H77" i="8"/>
  <c r="H75" i="8"/>
  <c r="H73" i="8"/>
  <c r="H71" i="8"/>
  <c r="H66" i="8"/>
  <c r="H31" i="8"/>
  <c r="H29" i="8"/>
  <c r="H27" i="8"/>
  <c r="H24" i="8"/>
  <c r="H22" i="8"/>
  <c r="H18" i="8"/>
  <c r="H16" i="8"/>
  <c r="H14" i="8"/>
  <c r="H12" i="8"/>
  <c r="H10" i="8"/>
  <c r="H7" i="8"/>
  <c r="H5" i="8"/>
  <c r="H3" i="8"/>
  <c r="H144" i="8"/>
  <c r="H237" i="8"/>
  <c r="H239" i="8"/>
  <c r="H240" i="8"/>
  <c r="H241" i="8"/>
  <c r="H242" i="8"/>
  <c r="H172" i="8" l="1"/>
  <c r="H170" i="8"/>
  <c r="H168" i="8"/>
  <c r="H165" i="8"/>
  <c r="H163" i="8"/>
  <c r="H161" i="8"/>
  <c r="H159" i="8"/>
  <c r="H155" i="8"/>
  <c r="H153" i="8"/>
  <c r="H151" i="8"/>
  <c r="H149" i="8"/>
  <c r="H145" i="8"/>
  <c r="H133" i="8"/>
  <c r="H137" i="8"/>
  <c r="H135" i="8"/>
  <c r="H132" i="8"/>
  <c r="H131" i="8"/>
  <c r="H130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05" i="8"/>
  <c r="H103" i="8"/>
  <c r="H100" i="8"/>
  <c r="H98" i="8"/>
  <c r="H96" i="8"/>
  <c r="H90" i="8"/>
  <c r="H88" i="8"/>
  <c r="H86" i="8"/>
  <c r="H84" i="8"/>
  <c r="H82" i="8"/>
  <c r="H78" i="8"/>
  <c r="H76" i="8"/>
  <c r="H74" i="8"/>
  <c r="H72" i="8"/>
  <c r="H69" i="8"/>
  <c r="H67" i="8"/>
  <c r="H64" i="8"/>
  <c r="H63" i="8"/>
  <c r="H62" i="8"/>
  <c r="H61" i="8"/>
  <c r="H60" i="8"/>
  <c r="H58" i="8"/>
  <c r="H57" i="8"/>
  <c r="H56" i="8"/>
  <c r="H55" i="8"/>
  <c r="H54" i="8"/>
  <c r="H53" i="8"/>
  <c r="H52" i="8"/>
  <c r="H51" i="8"/>
  <c r="H50" i="8"/>
  <c r="H47" i="8"/>
  <c r="H46" i="8"/>
  <c r="H45" i="8"/>
  <c r="H42" i="8"/>
  <c r="H41" i="8"/>
  <c r="H40" i="8"/>
  <c r="H37" i="8"/>
  <c r="H35" i="8"/>
  <c r="H32" i="8"/>
  <c r="H30" i="8"/>
  <c r="H28" i="8"/>
  <c r="H25" i="8"/>
  <c r="H23" i="8"/>
  <c r="H21" i="8"/>
  <c r="H19" i="8"/>
  <c r="H17" i="8"/>
  <c r="H15" i="8"/>
  <c r="H13" i="8"/>
  <c r="H11" i="8"/>
  <c r="H8" i="8"/>
  <c r="H6" i="8"/>
  <c r="H4" i="8"/>
  <c r="H48" i="8" l="1"/>
  <c r="H39" i="8"/>
  <c r="H218" i="8"/>
  <c r="H213" i="8"/>
  <c r="J218" i="8" l="1"/>
  <c r="N218" i="8" s="1"/>
  <c r="N180" i="8"/>
  <c r="H147" i="8" l="1"/>
  <c r="N147" i="8" s="1"/>
  <c r="N230" i="8"/>
  <c r="H219" i="8"/>
  <c r="H217" i="8"/>
  <c r="N179" i="8"/>
  <c r="N178" i="8"/>
  <c r="N177" i="8"/>
  <c r="N144" i="8"/>
  <c r="J219" i="8" l="1"/>
  <c r="N219" i="8" s="1"/>
  <c r="J217" i="8"/>
  <c r="N217" i="8" s="1"/>
  <c r="H182" i="8"/>
  <c r="H107" i="8"/>
  <c r="N107" i="8" s="1"/>
  <c r="H106" i="8"/>
  <c r="N106" i="8" s="1"/>
  <c r="N94" i="8"/>
  <c r="N92" i="8"/>
  <c r="N90" i="8"/>
  <c r="N70" i="8"/>
  <c r="N62" i="8" l="1"/>
  <c r="N3" i="8"/>
  <c r="N51" i="8" l="1"/>
  <c r="N193" i="8"/>
  <c r="N176" i="8"/>
  <c r="N124" i="8" l="1"/>
  <c r="J65" i="8"/>
  <c r="N65" i="8" s="1"/>
  <c r="H49" i="8"/>
  <c r="N221" i="8"/>
  <c r="N174" i="8"/>
  <c r="N100" i="8"/>
  <c r="N172" i="8"/>
  <c r="N170" i="8"/>
  <c r="N168" i="8"/>
  <c r="N165" i="8"/>
  <c r="N163" i="8"/>
  <c r="N161" i="8"/>
  <c r="N159" i="8"/>
  <c r="N157" i="8"/>
  <c r="N155" i="8"/>
  <c r="N153" i="8"/>
  <c r="N151" i="8"/>
  <c r="N149" i="8"/>
  <c r="N145" i="8"/>
  <c r="N103" i="8"/>
  <c r="N98" i="8"/>
  <c r="N96" i="8"/>
  <c r="N89" i="8"/>
  <c r="N86" i="8"/>
  <c r="N84" i="8"/>
  <c r="N82" i="8"/>
  <c r="N78" i="8"/>
  <c r="N76" i="8"/>
  <c r="N74" i="8"/>
  <c r="N72" i="8"/>
  <c r="N67" i="8"/>
  <c r="N229" i="8" l="1"/>
  <c r="N228" i="8"/>
  <c r="N192" i="8"/>
  <c r="N191" i="8"/>
  <c r="H184" i="8"/>
  <c r="N171" i="8"/>
  <c r="H146" i="8"/>
  <c r="H143" i="8"/>
  <c r="H142" i="8"/>
  <c r="I142" i="8" s="1"/>
  <c r="J132" i="8"/>
  <c r="N123" i="8"/>
  <c r="N122" i="8"/>
  <c r="N79" i="8"/>
  <c r="N77" i="8"/>
  <c r="H34" i="8"/>
  <c r="H33" i="8"/>
  <c r="N31" i="8"/>
  <c r="N29" i="8"/>
  <c r="H26" i="8"/>
  <c r="H20" i="8"/>
  <c r="N18" i="8"/>
  <c r="H9" i="8"/>
  <c r="N7" i="8"/>
  <c r="J142" i="8" l="1"/>
  <c r="N142" i="8" s="1"/>
  <c r="I143" i="8"/>
  <c r="N132" i="8"/>
  <c r="J143" i="8" l="1"/>
  <c r="N143" i="8" s="1"/>
  <c r="H214" i="8"/>
  <c r="N105" i="8"/>
  <c r="H101" i="8"/>
  <c r="N64" i="8"/>
  <c r="N33" i="8"/>
  <c r="J216" i="8" l="1"/>
  <c r="N216" i="8" s="1"/>
  <c r="H187" i="8"/>
  <c r="H190" i="8"/>
  <c r="H201" i="8"/>
  <c r="H202" i="8"/>
  <c r="N185" i="8"/>
  <c r="N184" i="8"/>
  <c r="N183" i="8"/>
  <c r="N182" i="8"/>
  <c r="N181" i="8"/>
  <c r="N115" i="8"/>
  <c r="N120" i="8"/>
  <c r="N121" i="8"/>
  <c r="N118" i="8"/>
  <c r="N117" i="8"/>
  <c r="N116" i="8"/>
  <c r="N114" i="8"/>
  <c r="N113" i="8"/>
  <c r="N112" i="8"/>
  <c r="H43" i="8"/>
  <c r="H44" i="8"/>
  <c r="H59" i="8"/>
  <c r="N53" i="8"/>
  <c r="N49" i="8"/>
  <c r="N48" i="8"/>
  <c r="H227" i="8" l="1"/>
  <c r="N225" i="8"/>
  <c r="H224" i="8"/>
  <c r="N224" i="8" s="1"/>
  <c r="N220" i="8"/>
  <c r="M215" i="8"/>
  <c r="M213" i="8"/>
  <c r="M212" i="8"/>
  <c r="M214" i="8" l="1"/>
  <c r="N214" i="8" s="1"/>
  <c r="N215" i="8"/>
  <c r="N213" i="8"/>
  <c r="N212" i="8"/>
  <c r="H205" i="8" l="1"/>
  <c r="K202" i="8"/>
  <c r="N202" i="8" l="1"/>
  <c r="K135" i="8" l="1"/>
  <c r="N135" i="8" s="1"/>
  <c r="K136" i="8"/>
  <c r="N136" i="8" s="1"/>
  <c r="K137" i="8"/>
  <c r="N137" i="8" s="1"/>
  <c r="H129" i="8" l="1"/>
  <c r="I129" i="8" l="1"/>
  <c r="N129" i="8" s="1"/>
  <c r="N102" i="8"/>
  <c r="N101" i="8"/>
  <c r="N95" i="8"/>
  <c r="N93" i="8"/>
  <c r="N91" i="8"/>
  <c r="N88" i="8"/>
  <c r="N87" i="8"/>
  <c r="N83" i="8"/>
  <c r="N75" i="8"/>
  <c r="N73" i="8"/>
  <c r="N71" i="8"/>
  <c r="N66" i="8"/>
  <c r="N63" i="8" l="1"/>
  <c r="N61" i="8"/>
  <c r="N60" i="8"/>
  <c r="N59" i="8"/>
  <c r="I58" i="8"/>
  <c r="I56" i="8"/>
  <c r="N56" i="8" s="1"/>
  <c r="I55" i="8"/>
  <c r="N55" i="8" s="1"/>
  <c r="N54" i="8"/>
  <c r="M45" i="8"/>
  <c r="N45" i="8" s="1"/>
  <c r="K44" i="8"/>
  <c r="K43" i="8"/>
  <c r="K42" i="8"/>
  <c r="K41" i="8"/>
  <c r="K39" i="8"/>
  <c r="K37" i="8"/>
  <c r="N27" i="8"/>
  <c r="N26" i="8"/>
  <c r="N24" i="8"/>
  <c r="N22" i="8"/>
  <c r="N20" i="8"/>
  <c r="N16" i="8"/>
  <c r="N14" i="8"/>
  <c r="N12" i="8"/>
  <c r="N5" i="8"/>
  <c r="N10" i="8"/>
  <c r="M242" i="8"/>
  <c r="M241" i="8"/>
  <c r="M240" i="8"/>
  <c r="M239" i="8"/>
  <c r="K237" i="8"/>
  <c r="K236" i="8"/>
  <c r="K235" i="8"/>
  <c r="K234" i="8"/>
  <c r="K233" i="8"/>
  <c r="K232" i="8"/>
  <c r="K231" i="8"/>
  <c r="N227" i="8"/>
  <c r="N226" i="8"/>
  <c r="N223" i="8"/>
  <c r="N222" i="8"/>
  <c r="M211" i="8"/>
  <c r="J209" i="8"/>
  <c r="I205" i="8"/>
  <c r="I203" i="8"/>
  <c r="K201" i="8"/>
  <c r="K200" i="8"/>
  <c r="K199" i="8"/>
  <c r="K198" i="8"/>
  <c r="K197" i="8"/>
  <c r="K196" i="8"/>
  <c r="K195" i="8"/>
  <c r="N194" i="8"/>
  <c r="N190" i="8"/>
  <c r="N189" i="8"/>
  <c r="H188" i="8"/>
  <c r="N188" i="8" s="1"/>
  <c r="N187" i="8"/>
  <c r="N186" i="8"/>
  <c r="N175" i="8"/>
  <c r="N173" i="8"/>
  <c r="N169" i="8"/>
  <c r="N167" i="8"/>
  <c r="N166" i="8"/>
  <c r="N164" i="8"/>
  <c r="N162" i="8"/>
  <c r="N160" i="8"/>
  <c r="N158" i="8"/>
  <c r="N156" i="8"/>
  <c r="N154" i="8"/>
  <c r="N152" i="8"/>
  <c r="N150" i="8"/>
  <c r="N148" i="8"/>
  <c r="N146" i="8"/>
  <c r="K139" i="8"/>
  <c r="K138" i="8"/>
  <c r="N138" i="8" s="1"/>
  <c r="K134" i="8"/>
  <c r="N134" i="8" s="1"/>
  <c r="K133" i="8"/>
  <c r="N133" i="8" s="1"/>
  <c r="J131" i="8"/>
  <c r="N131" i="8" s="1"/>
  <c r="J130" i="8"/>
  <c r="N130" i="8" s="1"/>
  <c r="I127" i="8"/>
  <c r="N127" i="8" s="1"/>
  <c r="I126" i="8"/>
  <c r="N126" i="8" s="1"/>
  <c r="I125" i="8"/>
  <c r="N125" i="8" s="1"/>
  <c r="N119" i="8"/>
  <c r="N104" i="8"/>
  <c r="N99" i="8"/>
  <c r="N97" i="8"/>
  <c r="N85" i="8"/>
  <c r="N81" i="8"/>
  <c r="N80" i="8"/>
  <c r="N69" i="8"/>
  <c r="N34" i="8"/>
  <c r="N9" i="8"/>
  <c r="I50" i="8" l="1"/>
  <c r="N50" i="8" s="1"/>
  <c r="I128" i="8"/>
  <c r="N128" i="8" s="1"/>
  <c r="M47" i="8"/>
  <c r="N47" i="8" s="1"/>
  <c r="M46" i="8"/>
  <c r="N46" i="8" s="1"/>
  <c r="N39" i="8"/>
  <c r="N42" i="8"/>
  <c r="N41" i="8"/>
  <c r="K40" i="8"/>
  <c r="N40" i="8" s="1"/>
  <c r="K38" i="8"/>
  <c r="N38" i="8" s="1"/>
  <c r="N43" i="8"/>
  <c r="N44" i="8"/>
  <c r="I57" i="8"/>
  <c r="N57" i="8" s="1"/>
  <c r="N37" i="8"/>
  <c r="I52" i="8"/>
  <c r="N52" i="8" s="1"/>
  <c r="N58" i="8"/>
  <c r="N139" i="8"/>
  <c r="N203" i="8"/>
  <c r="N205" i="8"/>
  <c r="N209" i="8"/>
  <c r="N231" i="8"/>
  <c r="N232" i="8"/>
  <c r="N233" i="8"/>
  <c r="N234" i="8"/>
  <c r="N235" i="8"/>
  <c r="N236" i="8"/>
  <c r="N237" i="8"/>
  <c r="N239" i="8"/>
  <c r="N240" i="8"/>
  <c r="N241" i="8"/>
  <c r="N242" i="8"/>
  <c r="N195" i="8"/>
  <c r="N196" i="8"/>
  <c r="N197" i="8"/>
  <c r="N198" i="8"/>
  <c r="N199" i="8"/>
  <c r="N200" i="8"/>
  <c r="N201" i="8"/>
  <c r="I204" i="8"/>
  <c r="N204" i="8" s="1"/>
  <c r="I206" i="8"/>
  <c r="N206" i="8" s="1"/>
  <c r="I207" i="8"/>
  <c r="N207" i="8" s="1"/>
  <c r="I208" i="8"/>
  <c r="N208" i="8" s="1"/>
  <c r="J210" i="8"/>
  <c r="N210" i="8" s="1"/>
  <c r="N211" i="8"/>
</calcChain>
</file>

<file path=xl/sharedStrings.xml><?xml version="1.0" encoding="utf-8"?>
<sst xmlns="http://schemas.openxmlformats.org/spreadsheetml/2006/main" count="1216" uniqueCount="122">
  <si>
    <t>Psicologo</t>
  </si>
  <si>
    <t>Biologo</t>
  </si>
  <si>
    <t>Oculista</t>
  </si>
  <si>
    <t>Necessità Assistenziale</t>
  </si>
  <si>
    <t>MOTIVAZIONE</t>
  </si>
  <si>
    <t>SOGGETTO A PRIVACY (D.lgs 101/18)</t>
  </si>
  <si>
    <t>COGNOME e NOME</t>
  </si>
  <si>
    <t>QUALIFICA</t>
  </si>
  <si>
    <t>COMPENSO ORARIO</t>
  </si>
  <si>
    <t>ore mese max retribuibili</t>
  </si>
  <si>
    <t>DECORRENZA</t>
  </si>
  <si>
    <t>SCADENZA</t>
  </si>
  <si>
    <t>INPS</t>
  </si>
  <si>
    <t>ENPAB</t>
  </si>
  <si>
    <t>ENPAP</t>
  </si>
  <si>
    <t>IVA</t>
  </si>
  <si>
    <t>IPASVI</t>
  </si>
  <si>
    <t>TOTALE COMPLESSIVO</t>
  </si>
  <si>
    <t>DELIBERA</t>
  </si>
  <si>
    <t>Bollate</t>
  </si>
  <si>
    <t>Medico penitenziario</t>
  </si>
  <si>
    <t>1893/17-2384/2019-95/2020</t>
  </si>
  <si>
    <t>1017/2020</t>
  </si>
  <si>
    <t>1906/17-2384/2019-95/2020</t>
  </si>
  <si>
    <t>1130/2020</t>
  </si>
  <si>
    <t>Infermiere Prof.le</t>
  </si>
  <si>
    <t>966/2020</t>
  </si>
  <si>
    <t>Psichiatra</t>
  </si>
  <si>
    <t>1068/2020</t>
  </si>
  <si>
    <t>1993/18-2384/2019-95/2020</t>
  </si>
  <si>
    <t>Infettivologo</t>
  </si>
  <si>
    <t>1909/17-2384/2019-95/2020</t>
  </si>
  <si>
    <t>1645/2018-2384/2019-95/2020</t>
  </si>
  <si>
    <t>1070/2020</t>
  </si>
  <si>
    <t>Ginecologa</t>
  </si>
  <si>
    <t>Diabetologo</t>
  </si>
  <si>
    <t>Urologo</t>
  </si>
  <si>
    <t>91/2018-2384/2019-95/2020</t>
  </si>
  <si>
    <t>Pneumologo</t>
  </si>
  <si>
    <t>965/2020</t>
  </si>
  <si>
    <t>Odontoiatra</t>
  </si>
  <si>
    <t>107/2019-2384/2019-95/2020</t>
  </si>
  <si>
    <t>1071/2020</t>
  </si>
  <si>
    <t>Medico Legale</t>
  </si>
  <si>
    <t>1020/2020</t>
  </si>
  <si>
    <t>Tecnico di Radiologia</t>
  </si>
  <si>
    <t>423/2020</t>
  </si>
  <si>
    <t>Tecn di Laboratorio</t>
  </si>
  <si>
    <t>655/2018-2384/2019-95/2020</t>
  </si>
  <si>
    <t>950/2020</t>
  </si>
  <si>
    <t>556/2019-2384/2019-95/2020</t>
  </si>
  <si>
    <t>Opera</t>
  </si>
  <si>
    <t>298/18-2384/2019</t>
  </si>
  <si>
    <t>Orl</t>
  </si>
  <si>
    <t>Tecn di Fiosioterapia</t>
  </si>
  <si>
    <t>Tecn di Radiologia</t>
  </si>
  <si>
    <t>137/2020</t>
  </si>
  <si>
    <t>2000/19</t>
  </si>
  <si>
    <t>Ginecologo</t>
  </si>
  <si>
    <t>1841/17-2384/2019-95/2020</t>
  </si>
  <si>
    <t xml:space="preserve">Inf Prof. </t>
  </si>
  <si>
    <t>Inf. Prof.</t>
  </si>
  <si>
    <t>Beccaria</t>
  </si>
  <si>
    <t>1504/2018-2384/2019-95/2020</t>
  </si>
  <si>
    <t>1832/17-2384/2019-95/2020-821/2020</t>
  </si>
  <si>
    <t>1841/17-2384/2019-950/2020</t>
  </si>
  <si>
    <t>1843/17-2384/2019-95/2020-966</t>
  </si>
  <si>
    <t>San Vittore</t>
  </si>
  <si>
    <t xml:space="preserve">TOTALE COMPENSO </t>
  </si>
  <si>
    <t>2689/2020</t>
  </si>
  <si>
    <t>2195/2020</t>
  </si>
  <si>
    <t>2514/2020</t>
  </si>
  <si>
    <t>2223/2020</t>
  </si>
  <si>
    <t>1312/2020</t>
  </si>
  <si>
    <t>1761/2020</t>
  </si>
  <si>
    <t>1671/2020</t>
  </si>
  <si>
    <t>95/2020</t>
  </si>
  <si>
    <t>1526/2021</t>
  </si>
  <si>
    <t>1017/2021</t>
  </si>
  <si>
    <t>95/2020-1017/2020</t>
  </si>
  <si>
    <t>95/2020-1076/2020</t>
  </si>
  <si>
    <t>95/2020-965/2020</t>
  </si>
  <si>
    <t>95/2020-1068/2020</t>
  </si>
  <si>
    <t>95/2020-1074/2020</t>
  </si>
  <si>
    <t>950/2020-</t>
  </si>
  <si>
    <t>86/2021</t>
  </si>
  <si>
    <t>95/2020-1130/2020</t>
  </si>
  <si>
    <t>95/2020-1130</t>
  </si>
  <si>
    <t>Farmacista</t>
  </si>
  <si>
    <t>137/2021</t>
  </si>
  <si>
    <t>1055/2020</t>
  </si>
  <si>
    <t>95/2020-1526/2021</t>
  </si>
  <si>
    <t>95/2020-130/2021</t>
  </si>
  <si>
    <t>95/2020-137/2020</t>
  </si>
  <si>
    <t>95/2020-966/2020</t>
  </si>
  <si>
    <t>95/2020-1070/2020</t>
  </si>
  <si>
    <t>95/2020-821/2020</t>
  </si>
  <si>
    <t>95/2020-2695/2020-1526/2021</t>
  </si>
  <si>
    <t>95/2020-1071/2020</t>
  </si>
  <si>
    <t>1988/2021</t>
  </si>
  <si>
    <t>1862/2021</t>
  </si>
  <si>
    <t>18/62/2021</t>
  </si>
  <si>
    <t>1398/2021</t>
  </si>
  <si>
    <t>1910/2021</t>
  </si>
  <si>
    <t>3013/2021</t>
  </si>
  <si>
    <t>535/2022</t>
  </si>
  <si>
    <t>651/2022</t>
  </si>
  <si>
    <t>917/2022</t>
  </si>
  <si>
    <t>ASSEGNAZIONE CARCERE</t>
  </si>
  <si>
    <t>832/2022</t>
  </si>
  <si>
    <t>Ed. prof.</t>
  </si>
  <si>
    <t>1709/2022</t>
  </si>
  <si>
    <t>579/2022</t>
  </si>
  <si>
    <t>2834/2021</t>
  </si>
  <si>
    <t>651/2022-1637/2022</t>
  </si>
  <si>
    <t>1983/2022</t>
  </si>
  <si>
    <t>2015/2022</t>
  </si>
  <si>
    <t>2008/2022</t>
  </si>
  <si>
    <t>1958/2022</t>
  </si>
  <si>
    <t>1199/2021</t>
  </si>
  <si>
    <t>Libero Professionisti - ASST Santi Paolo e Carlo</t>
  </si>
  <si>
    <t>2416/2022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</si>
</sst>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&quot;€ &quot;* #,##0.00_-;&quot;-€ &quot;* #,##0.00_-;_-&quot;€ &quot;* \-??_-;_-@_-"/>
    <numFmt numFmtId="168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entury Gothic"/>
      <family val="2"/>
    </font>
    <font>
      <sz val="8"/>
      <color rgb="FF0070C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B0F0"/>
      <name val="Calibri"/>
      <family val="2"/>
    </font>
    <font>
      <sz val="8"/>
      <color rgb="FF00206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rgb="FF92D050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7" fontId="3" fillId="0" borderId="0" applyFill="0" applyBorder="0" applyAlignment="0" applyProtection="0"/>
    <xf numFmtId="4" fontId="3" fillId="0" borderId="0" applyFill="0" applyBorder="0" applyAlignment="0" applyProtection="0"/>
  </cellStyleXfs>
  <cellXfs count="159"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11" fillId="2" borderId="1" xfId="0" applyFont="1" applyFill="1" applyBorder="1" applyAlignment="1">
      <alignment horizontal="left" vertical="center" wrapText="1"/>
    </xf>
    <xf numFmtId="165" fontId="11" fillId="2" borderId="1" xfId="4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vertical="center"/>
    </xf>
    <xf numFmtId="168" fontId="11" fillId="2" borderId="1" xfId="1" applyNumberFormat="1" applyFont="1" applyFill="1" applyBorder="1"/>
    <xf numFmtId="166" fontId="11" fillId="2" borderId="1" xfId="1" applyFont="1" applyFill="1" applyBorder="1"/>
    <xf numFmtId="166" fontId="11" fillId="2" borderId="1" xfId="1" quotePrefix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165" fontId="11" fillId="3" borderId="1" xfId="4" applyNumberFormat="1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165" fontId="11" fillId="5" borderId="1" xfId="4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/>
    <xf numFmtId="168" fontId="11" fillId="2" borderId="1" xfId="0" applyNumberFormat="1" applyFont="1" applyFill="1" applyBorder="1"/>
    <xf numFmtId="168" fontId="11" fillId="2" borderId="1" xfId="1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11" fillId="2" borderId="1" xfId="2" applyFont="1" applyFill="1" applyBorder="1" applyAlignment="1" applyProtection="1"/>
    <xf numFmtId="14" fontId="11" fillId="2" borderId="1" xfId="0" applyNumberFormat="1" applyFont="1" applyFill="1" applyBorder="1" applyAlignment="1">
      <alignment horizontal="left"/>
    </xf>
    <xf numFmtId="165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166" fontId="13" fillId="2" borderId="1" xfId="1" quotePrefix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11" fillId="2" borderId="4" xfId="0" applyFont="1" applyFill="1" applyBorder="1"/>
    <xf numFmtId="13" fontId="11" fillId="2" borderId="4" xfId="1" quotePrefix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left" vertical="center"/>
    </xf>
    <xf numFmtId="166" fontId="11" fillId="2" borderId="1" xfId="1" quotePrefix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13" fontId="11" fillId="2" borderId="5" xfId="1" quotePrefix="1" applyNumberFormat="1" applyFont="1" applyFill="1" applyBorder="1" applyAlignment="1">
      <alignment horizontal="center"/>
    </xf>
    <xf numFmtId="166" fontId="11" fillId="2" borderId="5" xfId="1" applyFont="1" applyFill="1" applyBorder="1"/>
    <xf numFmtId="0" fontId="11" fillId="3" borderId="1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165" fontId="11" fillId="6" borderId="1" xfId="2" applyFont="1" applyFill="1" applyBorder="1" applyAlignment="1" applyProtection="1"/>
    <xf numFmtId="0" fontId="11" fillId="2" borderId="1" xfId="0" applyFont="1" applyFill="1" applyBorder="1" applyAlignment="1">
      <alignment wrapText="1"/>
    </xf>
    <xf numFmtId="165" fontId="11" fillId="2" borderId="10" xfId="0" applyNumberFormat="1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165" fontId="11" fillId="2" borderId="4" xfId="2" applyFont="1" applyFill="1" applyBorder="1" applyAlignment="1" applyProtection="1"/>
    <xf numFmtId="165" fontId="11" fillId="7" borderId="13" xfId="0" applyNumberFormat="1" applyFont="1" applyFill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2" borderId="13" xfId="0" applyNumberFormat="1" applyFont="1" applyFill="1" applyBorder="1" applyAlignment="1">
      <alignment horizontal="left"/>
    </xf>
    <xf numFmtId="0" fontId="11" fillId="2" borderId="5" xfId="0" applyFont="1" applyFill="1" applyBorder="1"/>
    <xf numFmtId="165" fontId="11" fillId="2" borderId="5" xfId="0" applyNumberFormat="1" applyFont="1" applyFill="1" applyBorder="1" applyAlignment="1">
      <alignment horizontal="left"/>
    </xf>
    <xf numFmtId="0" fontId="11" fillId="7" borderId="5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4" xfId="0" applyFont="1" applyFill="1" applyBorder="1" applyAlignment="1">
      <alignment horizontal="center"/>
    </xf>
    <xf numFmtId="0" fontId="11" fillId="7" borderId="1" xfId="0" applyFont="1" applyFill="1" applyBorder="1"/>
    <xf numFmtId="165" fontId="11" fillId="7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/>
    <xf numFmtId="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165" fontId="11" fillId="5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168" fontId="11" fillId="2" borderId="1" xfId="1" applyNumberFormat="1" applyFont="1" applyFill="1" applyBorder="1" applyAlignment="1" applyProtection="1"/>
    <xf numFmtId="165" fontId="11" fillId="2" borderId="1" xfId="1" applyNumberFormat="1" applyFont="1" applyFill="1" applyBorder="1" applyAlignment="1" applyProtection="1">
      <alignment horizontal="left" vertical="center" wrapText="1"/>
    </xf>
    <xf numFmtId="13" fontId="11" fillId="2" borderId="1" xfId="1" quotePrefix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2" borderId="4" xfId="0" applyFont="1" applyFill="1" applyBorder="1" applyAlignment="1">
      <alignment wrapText="1"/>
    </xf>
    <xf numFmtId="165" fontId="11" fillId="3" borderId="1" xfId="0" applyNumberFormat="1" applyFont="1" applyFill="1" applyBorder="1" applyAlignment="1">
      <alignment horizontal="left"/>
    </xf>
    <xf numFmtId="165" fontId="11" fillId="3" borderId="1" xfId="2" applyFont="1" applyFill="1" applyBorder="1" applyAlignment="1" applyProtection="1"/>
    <xf numFmtId="0" fontId="11" fillId="3" borderId="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165" fontId="11" fillId="3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4" fontId="11" fillId="2" borderId="1" xfId="5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1" fillId="3" borderId="8" xfId="0" applyFont="1" applyFill="1" applyBorder="1" applyAlignment="1">
      <alignment horizontal="center"/>
    </xf>
    <xf numFmtId="165" fontId="11" fillId="2" borderId="13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left"/>
    </xf>
    <xf numFmtId="4" fontId="11" fillId="2" borderId="6" xfId="0" applyNumberFormat="1" applyFont="1" applyFill="1" applyBorder="1" applyAlignment="1">
      <alignment horizontal="left"/>
    </xf>
    <xf numFmtId="0" fontId="11" fillId="3" borderId="5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5" fontId="11" fillId="2" borderId="5" xfId="1" applyNumberFormat="1" applyFont="1" applyFill="1" applyBorder="1" applyAlignment="1" applyProtection="1">
      <alignment horizontal="left" vertical="center" wrapText="1"/>
    </xf>
    <xf numFmtId="0" fontId="11" fillId="4" borderId="5" xfId="0" applyFont="1" applyFill="1" applyBorder="1" applyAlignment="1">
      <alignment horizontal="center" wrapText="1"/>
    </xf>
    <xf numFmtId="168" fontId="11" fillId="2" borderId="5" xfId="1" applyNumberFormat="1" applyFont="1" applyFill="1" applyBorder="1" applyAlignment="1" applyProtection="1"/>
    <xf numFmtId="0" fontId="11" fillId="2" borderId="5" xfId="0" applyFont="1" applyFill="1" applyBorder="1" applyAlignment="1">
      <alignment wrapText="1"/>
    </xf>
    <xf numFmtId="0" fontId="11" fillId="3" borderId="4" xfId="0" applyFont="1" applyFill="1" applyBorder="1" applyAlignment="1"/>
    <xf numFmtId="3" fontId="11" fillId="2" borderId="1" xfId="0" applyNumberFormat="1" applyFont="1" applyFill="1" applyBorder="1" applyAlignment="1">
      <alignment horizontal="center" vertical="center"/>
    </xf>
    <xf numFmtId="165" fontId="11" fillId="6" borderId="4" xfId="2" applyFont="1" applyFill="1" applyBorder="1" applyAlignment="1" applyProtection="1"/>
    <xf numFmtId="0" fontId="14" fillId="2" borderId="1" xfId="0" applyFont="1" applyFill="1" applyBorder="1" applyAlignment="1">
      <alignment vertical="center" wrapText="1"/>
    </xf>
    <xf numFmtId="165" fontId="14" fillId="2" borderId="1" xfId="4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/>
    <xf numFmtId="165" fontId="11" fillId="2" borderId="1" xfId="2" applyFont="1" applyFill="1" applyBorder="1"/>
    <xf numFmtId="165" fontId="9" fillId="0" borderId="0" xfId="0" applyNumberFormat="1" applyFont="1"/>
    <xf numFmtId="167" fontId="11" fillId="2" borderId="1" xfId="4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165" fontId="11" fillId="2" borderId="4" xfId="4" applyNumberFormat="1" applyFont="1" applyFill="1" applyBorder="1" applyAlignment="1" applyProtection="1">
      <alignment horizontal="left" vertical="center" wrapText="1"/>
    </xf>
    <xf numFmtId="168" fontId="12" fillId="2" borderId="1" xfId="0" applyNumberFormat="1" applyFont="1" applyFill="1" applyBorder="1"/>
    <xf numFmtId="0" fontId="13" fillId="2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1" fillId="3" borderId="8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wrapText="1"/>
    </xf>
    <xf numFmtId="13" fontId="13" fillId="2" borderId="1" xfId="1" quotePrefix="1" applyNumberFormat="1" applyFont="1" applyFill="1" applyBorder="1" applyAlignment="1">
      <alignment horizontal="center"/>
    </xf>
    <xf numFmtId="166" fontId="11" fillId="2" borderId="4" xfId="1" quotePrefix="1" applyFont="1" applyFill="1" applyBorder="1" applyAlignment="1">
      <alignment horizontal="center"/>
    </xf>
    <xf numFmtId="165" fontId="11" fillId="2" borderId="1" xfId="4" applyNumberFormat="1" applyFont="1" applyFill="1" applyBorder="1" applyAlignment="1" applyProtection="1">
      <alignment horizontal="left" vertical="center"/>
    </xf>
    <xf numFmtId="164" fontId="11" fillId="2" borderId="1" xfId="4" applyNumberFormat="1" applyFont="1" applyFill="1" applyBorder="1" applyAlignment="1" applyProtection="1">
      <alignment horizontal="right" vertical="center" wrapText="1"/>
    </xf>
    <xf numFmtId="165" fontId="11" fillId="2" borderId="1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3" borderId="2" xfId="0" applyFont="1" applyFill="1" applyBorder="1" applyAlignment="1"/>
    <xf numFmtId="0" fontId="11" fillId="2" borderId="9" xfId="0" applyFont="1" applyFill="1" applyBorder="1" applyAlignment="1"/>
    <xf numFmtId="0" fontId="11" fillId="7" borderId="12" xfId="0" applyFont="1" applyFill="1" applyBorder="1" applyAlignment="1"/>
    <xf numFmtId="0" fontId="11" fillId="2" borderId="12" xfId="0" applyFont="1" applyFill="1" applyBorder="1" applyAlignment="1"/>
    <xf numFmtId="0" fontId="11" fillId="2" borderId="12" xfId="0" applyFont="1" applyFill="1" applyBorder="1"/>
    <xf numFmtId="0" fontId="11" fillId="7" borderId="12" xfId="0" applyFont="1" applyFill="1" applyBorder="1"/>
    <xf numFmtId="0" fontId="11" fillId="2" borderId="15" xfId="0" applyFont="1" applyFill="1" applyBorder="1"/>
    <xf numFmtId="14" fontId="11" fillId="2" borderId="2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vertical="center"/>
    </xf>
    <xf numFmtId="0" fontId="11" fillId="2" borderId="16" xfId="0" applyFont="1" applyFill="1" applyBorder="1"/>
    <xf numFmtId="165" fontId="11" fillId="2" borderId="17" xfId="0" applyNumberFormat="1" applyFont="1" applyFill="1" applyBorder="1" applyAlignment="1">
      <alignment horizontal="left"/>
    </xf>
    <xf numFmtId="165" fontId="11" fillId="2" borderId="6" xfId="0" applyNumberFormat="1" applyFont="1" applyFill="1" applyBorder="1" applyAlignment="1">
      <alignment horizontal="left"/>
    </xf>
    <xf numFmtId="165" fontId="11" fillId="2" borderId="8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11" fillId="2" borderId="6" xfId="0" applyFont="1" applyFill="1" applyBorder="1" applyAlignment="1">
      <alignment horizontal="right" vertical="center" wrapText="1"/>
    </xf>
    <xf numFmtId="14" fontId="11" fillId="2" borderId="8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right" wrapText="1"/>
    </xf>
    <xf numFmtId="4" fontId="7" fillId="10" borderId="4" xfId="5" applyFont="1" applyFill="1" applyBorder="1" applyAlignment="1" applyProtection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wrapText="1"/>
    </xf>
    <xf numFmtId="0" fontId="7" fillId="10" borderId="4" xfId="0" applyNumberFormat="1" applyFont="1" applyFill="1" applyBorder="1" applyAlignment="1">
      <alignment horizontal="center" vertical="center" wrapText="1"/>
    </xf>
    <xf numFmtId="4" fontId="7" fillId="10" borderId="4" xfId="5" applyFont="1" applyFill="1" applyBorder="1" applyAlignment="1" applyProtection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left" vertical="center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166" fontId="11" fillId="2" borderId="4" xfId="1" applyFont="1" applyFill="1" applyBorder="1"/>
    <xf numFmtId="4" fontId="11" fillId="2" borderId="8" xfId="0" applyNumberFormat="1" applyFont="1" applyFill="1" applyBorder="1"/>
    <xf numFmtId="0" fontId="12" fillId="0" borderId="8" xfId="0" applyFont="1" applyFill="1" applyBorder="1" applyAlignment="1">
      <alignment horizontal="right"/>
    </xf>
    <xf numFmtId="0" fontId="5" fillId="9" borderId="0" xfId="0" applyFont="1" applyFill="1" applyBorder="1" applyAlignment="1">
      <alignment horizontal="center"/>
    </xf>
  </cellXfs>
  <cellStyles count="6">
    <cellStyle name="Euro" xfId="4"/>
    <cellStyle name="Migliaia" xfId="1" builtinId="3"/>
    <cellStyle name="Migliaia_SV IBAN medici  ruolo" xfId="5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8"/>
  <sheetViews>
    <sheetView tabSelected="1" topLeftCell="A100" zoomScaleNormal="100" workbookViewId="0">
      <selection activeCell="S111" sqref="S111"/>
    </sheetView>
  </sheetViews>
  <sheetFormatPr defaultColWidth="9.140625" defaultRowHeight="14.25" x14ac:dyDescent="0.3"/>
  <cols>
    <col min="1" max="1" width="24.5703125" style="3" customWidth="1"/>
    <col min="2" max="2" width="15.42578125" style="3" bestFit="1" customWidth="1"/>
    <col min="3" max="3" width="12.28515625" style="3" bestFit="1" customWidth="1"/>
    <col min="4" max="4" width="9.28515625" style="3" hidden="1" customWidth="1"/>
    <col min="5" max="5" width="8.28515625" style="3" hidden="1" customWidth="1"/>
    <col min="6" max="6" width="10.85546875" style="3" bestFit="1" customWidth="1"/>
    <col min="7" max="7" width="9" style="3" bestFit="1" customWidth="1"/>
    <col min="8" max="8" width="15.28515625" style="3" bestFit="1" customWidth="1"/>
    <col min="9" max="11" width="9" style="3" hidden="1" customWidth="1"/>
    <col min="12" max="12" width="3.42578125" style="3" hidden="1" customWidth="1"/>
    <col min="13" max="13" width="9" style="3" hidden="1" customWidth="1"/>
    <col min="14" max="14" width="11.140625" style="3" bestFit="1" customWidth="1"/>
    <col min="15" max="15" width="10.28515625" style="3" customWidth="1"/>
    <col min="16" max="16" width="13.140625" style="3" customWidth="1"/>
    <col min="17" max="16384" width="9.140625" style="3"/>
  </cols>
  <sheetData>
    <row r="1" spans="1:16" s="2" customFormat="1" ht="29.25" x14ac:dyDescent="0.35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37.5" x14ac:dyDescent="0.3">
      <c r="A2" s="143" t="s">
        <v>6</v>
      </c>
      <c r="B2" s="143" t="s">
        <v>7</v>
      </c>
      <c r="C2" s="143" t="s">
        <v>108</v>
      </c>
      <c r="D2" s="144" t="s">
        <v>8</v>
      </c>
      <c r="E2" s="145" t="s">
        <v>9</v>
      </c>
      <c r="F2" s="147" t="s">
        <v>10</v>
      </c>
      <c r="G2" s="144" t="s">
        <v>11</v>
      </c>
      <c r="H2" s="146" t="s">
        <v>68</v>
      </c>
      <c r="I2" s="146" t="s">
        <v>12</v>
      </c>
      <c r="J2" s="144" t="s">
        <v>13</v>
      </c>
      <c r="K2" s="148" t="s">
        <v>14</v>
      </c>
      <c r="L2" s="149" t="s">
        <v>15</v>
      </c>
      <c r="M2" s="149" t="s">
        <v>16</v>
      </c>
      <c r="N2" s="150" t="s">
        <v>17</v>
      </c>
      <c r="O2" s="151" t="s">
        <v>18</v>
      </c>
      <c r="P2" s="148" t="s">
        <v>4</v>
      </c>
    </row>
    <row r="3" spans="1:16" ht="25.5" customHeight="1" x14ac:dyDescent="0.3">
      <c r="A3" s="1" t="s">
        <v>5</v>
      </c>
      <c r="B3" s="4" t="s">
        <v>20</v>
      </c>
      <c r="C3" s="136" t="s">
        <v>19</v>
      </c>
      <c r="D3" s="103">
        <v>25</v>
      </c>
      <c r="E3" s="6">
        <v>125</v>
      </c>
      <c r="F3" s="7">
        <v>43952</v>
      </c>
      <c r="G3" s="8">
        <v>44408</v>
      </c>
      <c r="H3" s="9">
        <f>D3*E3*15</f>
        <v>46875</v>
      </c>
      <c r="I3" s="10"/>
      <c r="J3" s="6"/>
      <c r="K3" s="11"/>
      <c r="L3" s="21"/>
      <c r="M3" s="21"/>
      <c r="N3" s="18">
        <f t="shared" ref="N3:N63" si="0">SUM(H3:M3)</f>
        <v>46875</v>
      </c>
      <c r="O3" s="139" t="s">
        <v>79</v>
      </c>
      <c r="P3" s="134" t="s">
        <v>3</v>
      </c>
    </row>
    <row r="4" spans="1:16" ht="23.25" customHeight="1" x14ac:dyDescent="0.3">
      <c r="A4" s="1" t="s">
        <v>5</v>
      </c>
      <c r="B4" s="4" t="s">
        <v>20</v>
      </c>
      <c r="C4" s="136" t="s">
        <v>19</v>
      </c>
      <c r="D4" s="103">
        <v>32</v>
      </c>
      <c r="E4" s="6">
        <v>125</v>
      </c>
      <c r="F4" s="7">
        <v>44409</v>
      </c>
      <c r="G4" s="8">
        <v>45046</v>
      </c>
      <c r="H4" s="9">
        <f>D4*E4*21</f>
        <v>84000</v>
      </c>
      <c r="I4" s="10"/>
      <c r="J4" s="6"/>
      <c r="K4" s="11"/>
      <c r="L4" s="21"/>
      <c r="M4" s="21"/>
      <c r="N4" s="18">
        <v>18375</v>
      </c>
      <c r="O4" s="139" t="s">
        <v>100</v>
      </c>
      <c r="P4" s="134" t="s">
        <v>3</v>
      </c>
    </row>
    <row r="5" spans="1:16" ht="26.25" customHeight="1" x14ac:dyDescent="0.3">
      <c r="A5" s="1" t="s">
        <v>5</v>
      </c>
      <c r="B5" s="4" t="s">
        <v>20</v>
      </c>
      <c r="C5" s="136" t="s">
        <v>19</v>
      </c>
      <c r="D5" s="5">
        <v>25</v>
      </c>
      <c r="E5" s="6">
        <v>125</v>
      </c>
      <c r="F5" s="7">
        <v>43952</v>
      </c>
      <c r="G5" s="8">
        <v>44408</v>
      </c>
      <c r="H5" s="9">
        <f>D5*E5*15</f>
        <v>46875</v>
      </c>
      <c r="I5" s="10"/>
      <c r="J5" s="6"/>
      <c r="K5" s="11"/>
      <c r="L5" s="21"/>
      <c r="M5" s="21"/>
      <c r="N5" s="18">
        <f t="shared" si="0"/>
        <v>46875</v>
      </c>
      <c r="O5" s="138" t="s">
        <v>79</v>
      </c>
      <c r="P5" s="134" t="s">
        <v>3</v>
      </c>
    </row>
    <row r="6" spans="1:16" ht="22.5" customHeight="1" x14ac:dyDescent="0.3">
      <c r="A6" s="1" t="s">
        <v>5</v>
      </c>
      <c r="B6" s="4" t="s">
        <v>20</v>
      </c>
      <c r="C6" s="136" t="s">
        <v>19</v>
      </c>
      <c r="D6" s="5">
        <v>32</v>
      </c>
      <c r="E6" s="6">
        <v>125</v>
      </c>
      <c r="F6" s="7">
        <v>44409</v>
      </c>
      <c r="G6" s="8">
        <v>45046</v>
      </c>
      <c r="H6" s="9">
        <f>D6*E6*21</f>
        <v>84000</v>
      </c>
      <c r="I6" s="10"/>
      <c r="J6" s="6"/>
      <c r="K6" s="11"/>
      <c r="L6" s="21"/>
      <c r="M6" s="21"/>
      <c r="N6" s="18">
        <v>18375</v>
      </c>
      <c r="O6" s="138" t="s">
        <v>100</v>
      </c>
      <c r="P6" s="134" t="s">
        <v>3</v>
      </c>
    </row>
    <row r="7" spans="1:16" ht="23.25" customHeight="1" x14ac:dyDescent="0.3">
      <c r="A7" s="1" t="s">
        <v>5</v>
      </c>
      <c r="B7" s="4" t="s">
        <v>20</v>
      </c>
      <c r="C7" s="136" t="s">
        <v>19</v>
      </c>
      <c r="D7" s="5">
        <v>25</v>
      </c>
      <c r="E7" s="6">
        <v>125</v>
      </c>
      <c r="F7" s="7">
        <v>43952</v>
      </c>
      <c r="G7" s="8">
        <v>44408</v>
      </c>
      <c r="H7" s="9">
        <f>D7*E7*15</f>
        <v>46875</v>
      </c>
      <c r="I7" s="10"/>
      <c r="J7" s="6"/>
      <c r="K7" s="11"/>
      <c r="L7" s="21"/>
      <c r="M7" s="21"/>
      <c r="N7" s="18">
        <f t="shared" si="0"/>
        <v>46875</v>
      </c>
      <c r="O7" s="138" t="s">
        <v>74</v>
      </c>
      <c r="P7" s="134" t="s">
        <v>3</v>
      </c>
    </row>
    <row r="8" spans="1:16" ht="24" customHeight="1" x14ac:dyDescent="0.3">
      <c r="A8" s="1" t="s">
        <v>5</v>
      </c>
      <c r="B8" s="4" t="s">
        <v>20</v>
      </c>
      <c r="C8" s="136" t="s">
        <v>19</v>
      </c>
      <c r="D8" s="5">
        <v>32</v>
      </c>
      <c r="E8" s="6">
        <v>125</v>
      </c>
      <c r="F8" s="7">
        <v>44409</v>
      </c>
      <c r="G8" s="8">
        <v>45046</v>
      </c>
      <c r="H8" s="9">
        <f>D8*E8*21</f>
        <v>84000</v>
      </c>
      <c r="I8" s="10"/>
      <c r="J8" s="6"/>
      <c r="K8" s="11"/>
      <c r="L8" s="21"/>
      <c r="M8" s="21"/>
      <c r="N8" s="18">
        <v>18375</v>
      </c>
      <c r="O8" s="138" t="s">
        <v>100</v>
      </c>
      <c r="P8" s="134" t="s">
        <v>3</v>
      </c>
    </row>
    <row r="9" spans="1:16" ht="24" customHeight="1" x14ac:dyDescent="0.3">
      <c r="A9" s="1" t="s">
        <v>5</v>
      </c>
      <c r="B9" s="4" t="s">
        <v>20</v>
      </c>
      <c r="C9" s="136" t="s">
        <v>19</v>
      </c>
      <c r="D9" s="14">
        <v>32</v>
      </c>
      <c r="E9" s="6">
        <v>125</v>
      </c>
      <c r="F9" s="7">
        <v>43952</v>
      </c>
      <c r="G9" s="8">
        <v>44227</v>
      </c>
      <c r="H9" s="9">
        <f>D9*E9*13</f>
        <v>52000</v>
      </c>
      <c r="I9" s="10"/>
      <c r="J9" s="6"/>
      <c r="K9" s="11"/>
      <c r="L9" s="17"/>
      <c r="M9" s="17"/>
      <c r="N9" s="18">
        <f t="shared" si="0"/>
        <v>52000</v>
      </c>
      <c r="O9" s="138" t="s">
        <v>79</v>
      </c>
      <c r="P9" s="134" t="s">
        <v>3</v>
      </c>
    </row>
    <row r="10" spans="1:16" ht="27.75" customHeight="1" x14ac:dyDescent="0.3">
      <c r="A10" s="1" t="s">
        <v>5</v>
      </c>
      <c r="B10" s="4" t="s">
        <v>20</v>
      </c>
      <c r="C10" s="136" t="s">
        <v>19</v>
      </c>
      <c r="D10" s="5">
        <v>25</v>
      </c>
      <c r="E10" s="6">
        <v>125</v>
      </c>
      <c r="F10" s="7">
        <v>43952</v>
      </c>
      <c r="G10" s="8">
        <v>44408</v>
      </c>
      <c r="H10" s="9">
        <f>D10*E10*15</f>
        <v>46875</v>
      </c>
      <c r="I10" s="10"/>
      <c r="J10" s="6"/>
      <c r="K10" s="11"/>
      <c r="L10" s="21"/>
      <c r="M10" s="21"/>
      <c r="N10" s="18">
        <f t="shared" ref="N10" si="1">SUM(H10:M10)</f>
        <v>46875</v>
      </c>
      <c r="O10" s="138" t="s">
        <v>22</v>
      </c>
      <c r="P10" s="134" t="s">
        <v>3</v>
      </c>
    </row>
    <row r="11" spans="1:16" ht="23.25" customHeight="1" x14ac:dyDescent="0.3">
      <c r="A11" s="1" t="s">
        <v>5</v>
      </c>
      <c r="B11" s="4" t="s">
        <v>20</v>
      </c>
      <c r="C11" s="136" t="s">
        <v>19</v>
      </c>
      <c r="D11" s="5">
        <v>32</v>
      </c>
      <c r="E11" s="6">
        <v>125</v>
      </c>
      <c r="F11" s="7">
        <v>44409</v>
      </c>
      <c r="G11" s="8">
        <v>45046</v>
      </c>
      <c r="H11" s="9">
        <f>D11*E11*21</f>
        <v>84000</v>
      </c>
      <c r="I11" s="10"/>
      <c r="J11" s="6"/>
      <c r="K11" s="11"/>
      <c r="L11" s="21"/>
      <c r="M11" s="21"/>
      <c r="N11" s="18">
        <v>18375</v>
      </c>
      <c r="O11" s="138" t="s">
        <v>100</v>
      </c>
      <c r="P11" s="134" t="s">
        <v>3</v>
      </c>
    </row>
    <row r="12" spans="1:16" ht="27.75" customHeight="1" x14ac:dyDescent="0.3">
      <c r="A12" s="1" t="s">
        <v>5</v>
      </c>
      <c r="B12" s="4" t="s">
        <v>20</v>
      </c>
      <c r="C12" s="136" t="s">
        <v>19</v>
      </c>
      <c r="D12" s="5">
        <v>25</v>
      </c>
      <c r="E12" s="6">
        <v>125</v>
      </c>
      <c r="F12" s="7">
        <v>43952</v>
      </c>
      <c r="G12" s="8">
        <v>44408</v>
      </c>
      <c r="H12" s="9">
        <f>D12*E12*15</f>
        <v>46875</v>
      </c>
      <c r="I12" s="10"/>
      <c r="J12" s="6"/>
      <c r="K12" s="11"/>
      <c r="L12" s="17"/>
      <c r="M12" s="17"/>
      <c r="N12" s="18">
        <f t="shared" si="0"/>
        <v>46875</v>
      </c>
      <c r="O12" s="138" t="s">
        <v>79</v>
      </c>
      <c r="P12" s="134" t="s">
        <v>3</v>
      </c>
    </row>
    <row r="13" spans="1:16" ht="27.75" customHeight="1" x14ac:dyDescent="0.3">
      <c r="A13" s="1" t="s">
        <v>5</v>
      </c>
      <c r="B13" s="4" t="s">
        <v>20</v>
      </c>
      <c r="C13" s="136" t="s">
        <v>19</v>
      </c>
      <c r="D13" s="5">
        <v>32</v>
      </c>
      <c r="E13" s="6">
        <v>125</v>
      </c>
      <c r="F13" s="7">
        <v>44409</v>
      </c>
      <c r="G13" s="8">
        <v>45046</v>
      </c>
      <c r="H13" s="9">
        <f>D13*E13*21</f>
        <v>84000</v>
      </c>
      <c r="I13" s="10"/>
      <c r="J13" s="6"/>
      <c r="K13" s="11"/>
      <c r="L13" s="17"/>
      <c r="M13" s="17"/>
      <c r="N13" s="18">
        <v>18375</v>
      </c>
      <c r="O13" s="138" t="s">
        <v>100</v>
      </c>
      <c r="P13" s="134" t="s">
        <v>3</v>
      </c>
    </row>
    <row r="14" spans="1:16" ht="24.75" customHeight="1" x14ac:dyDescent="0.3">
      <c r="A14" s="1" t="s">
        <v>5</v>
      </c>
      <c r="B14" s="4" t="s">
        <v>20</v>
      </c>
      <c r="C14" s="136" t="s">
        <v>19</v>
      </c>
      <c r="D14" s="5">
        <v>25</v>
      </c>
      <c r="E14" s="6">
        <v>125</v>
      </c>
      <c r="F14" s="7">
        <v>43952</v>
      </c>
      <c r="G14" s="8">
        <v>44408</v>
      </c>
      <c r="H14" s="9">
        <f>D14*E14*15</f>
        <v>46875</v>
      </c>
      <c r="I14" s="10"/>
      <c r="J14" s="6"/>
      <c r="K14" s="11"/>
      <c r="L14" s="17"/>
      <c r="M14" s="17"/>
      <c r="N14" s="18">
        <f t="shared" si="0"/>
        <v>46875</v>
      </c>
      <c r="O14" s="138" t="s">
        <v>79</v>
      </c>
      <c r="P14" s="134" t="s">
        <v>3</v>
      </c>
    </row>
    <row r="15" spans="1:16" ht="26.25" customHeight="1" x14ac:dyDescent="0.3">
      <c r="A15" s="1" t="s">
        <v>5</v>
      </c>
      <c r="B15" s="4" t="s">
        <v>20</v>
      </c>
      <c r="C15" s="136" t="s">
        <v>19</v>
      </c>
      <c r="D15" s="5">
        <v>32</v>
      </c>
      <c r="E15" s="6">
        <v>125</v>
      </c>
      <c r="F15" s="7">
        <v>44409</v>
      </c>
      <c r="G15" s="8">
        <v>45046</v>
      </c>
      <c r="H15" s="9">
        <f>D15*E15*21</f>
        <v>84000</v>
      </c>
      <c r="I15" s="10"/>
      <c r="J15" s="6"/>
      <c r="K15" s="11"/>
      <c r="L15" s="17"/>
      <c r="M15" s="17"/>
      <c r="N15" s="18">
        <v>18375</v>
      </c>
      <c r="O15" s="138" t="s">
        <v>100</v>
      </c>
      <c r="P15" s="134" t="s">
        <v>3</v>
      </c>
    </row>
    <row r="16" spans="1:16" ht="26.25" customHeight="1" x14ac:dyDescent="0.3">
      <c r="A16" s="1" t="s">
        <v>5</v>
      </c>
      <c r="B16" s="4" t="s">
        <v>20</v>
      </c>
      <c r="C16" s="136" t="s">
        <v>19</v>
      </c>
      <c r="D16" s="5">
        <v>25</v>
      </c>
      <c r="E16" s="6">
        <v>125</v>
      </c>
      <c r="F16" s="7">
        <v>43952</v>
      </c>
      <c r="G16" s="8">
        <v>44408</v>
      </c>
      <c r="H16" s="9">
        <f>D16*E16*15</f>
        <v>46875</v>
      </c>
      <c r="I16" s="10"/>
      <c r="J16" s="6"/>
      <c r="K16" s="11"/>
      <c r="L16" s="17"/>
      <c r="M16" s="17"/>
      <c r="N16" s="18">
        <f t="shared" ref="N16:N18" si="2">SUM(H16:M16)</f>
        <v>46875</v>
      </c>
      <c r="O16" s="138" t="s">
        <v>79</v>
      </c>
      <c r="P16" s="134" t="s">
        <v>3</v>
      </c>
    </row>
    <row r="17" spans="1:16" ht="27.75" customHeight="1" x14ac:dyDescent="0.3">
      <c r="A17" s="1" t="s">
        <v>5</v>
      </c>
      <c r="B17" s="4" t="s">
        <v>20</v>
      </c>
      <c r="C17" s="136" t="s">
        <v>19</v>
      </c>
      <c r="D17" s="5">
        <v>32</v>
      </c>
      <c r="E17" s="6">
        <v>125</v>
      </c>
      <c r="F17" s="7">
        <v>44409</v>
      </c>
      <c r="G17" s="8">
        <v>45046</v>
      </c>
      <c r="H17" s="9">
        <f>D17*E17*21</f>
        <v>84000</v>
      </c>
      <c r="I17" s="10"/>
      <c r="J17" s="6"/>
      <c r="K17" s="11"/>
      <c r="L17" s="17"/>
      <c r="M17" s="17"/>
      <c r="N17" s="18">
        <v>18375</v>
      </c>
      <c r="O17" s="138" t="s">
        <v>100</v>
      </c>
      <c r="P17" s="134" t="s">
        <v>3</v>
      </c>
    </row>
    <row r="18" spans="1:16" ht="27.75" customHeight="1" x14ac:dyDescent="0.3">
      <c r="A18" s="1" t="s">
        <v>5</v>
      </c>
      <c r="B18" s="4" t="s">
        <v>20</v>
      </c>
      <c r="C18" s="136" t="s">
        <v>19</v>
      </c>
      <c r="D18" s="5">
        <v>25</v>
      </c>
      <c r="E18" s="6">
        <v>125</v>
      </c>
      <c r="F18" s="7">
        <v>43952</v>
      </c>
      <c r="G18" s="8">
        <v>44408</v>
      </c>
      <c r="H18" s="9">
        <f>D18*E18*15</f>
        <v>46875</v>
      </c>
      <c r="I18" s="10"/>
      <c r="J18" s="6"/>
      <c r="K18" s="11"/>
      <c r="L18" s="17"/>
      <c r="M18" s="17"/>
      <c r="N18" s="18">
        <f t="shared" si="2"/>
        <v>46875</v>
      </c>
      <c r="O18" s="138" t="s">
        <v>22</v>
      </c>
      <c r="P18" s="134" t="s">
        <v>3</v>
      </c>
    </row>
    <row r="19" spans="1:16" ht="24" customHeight="1" x14ac:dyDescent="0.3">
      <c r="A19" s="1" t="s">
        <v>5</v>
      </c>
      <c r="B19" s="4" t="s">
        <v>20</v>
      </c>
      <c r="C19" s="136" t="s">
        <v>19</v>
      </c>
      <c r="D19" s="5">
        <v>32</v>
      </c>
      <c r="E19" s="6">
        <v>125</v>
      </c>
      <c r="F19" s="7">
        <v>44409</v>
      </c>
      <c r="G19" s="8">
        <v>45046</v>
      </c>
      <c r="H19" s="9">
        <f>D19*E19*21</f>
        <v>84000</v>
      </c>
      <c r="I19" s="10"/>
      <c r="J19" s="6"/>
      <c r="K19" s="11"/>
      <c r="L19" s="17"/>
      <c r="M19" s="17"/>
      <c r="N19" s="18">
        <v>18375</v>
      </c>
      <c r="O19" s="138" t="s">
        <v>101</v>
      </c>
      <c r="P19" s="134" t="s">
        <v>3</v>
      </c>
    </row>
    <row r="20" spans="1:16" ht="27" customHeight="1" x14ac:dyDescent="0.3">
      <c r="A20" s="1" t="s">
        <v>5</v>
      </c>
      <c r="B20" s="4" t="s">
        <v>20</v>
      </c>
      <c r="C20" s="136" t="s">
        <v>19</v>
      </c>
      <c r="D20" s="5">
        <v>32</v>
      </c>
      <c r="E20" s="6">
        <v>125</v>
      </c>
      <c r="F20" s="7">
        <v>43952</v>
      </c>
      <c r="G20" s="8">
        <v>44348</v>
      </c>
      <c r="H20" s="9">
        <f>D20*E20*18</f>
        <v>72000</v>
      </c>
      <c r="I20" s="10"/>
      <c r="J20" s="6"/>
      <c r="K20" s="11"/>
      <c r="L20" s="17"/>
      <c r="M20" s="17"/>
      <c r="N20" s="18">
        <f t="shared" si="0"/>
        <v>72000</v>
      </c>
      <c r="O20" s="138" t="s">
        <v>79</v>
      </c>
      <c r="P20" s="134" t="s">
        <v>3</v>
      </c>
    </row>
    <row r="21" spans="1:16" ht="24.75" customHeight="1" x14ac:dyDescent="0.3">
      <c r="A21" s="1" t="s">
        <v>5</v>
      </c>
      <c r="B21" s="4" t="s">
        <v>20</v>
      </c>
      <c r="C21" s="136" t="s">
        <v>19</v>
      </c>
      <c r="D21" s="5">
        <v>32</v>
      </c>
      <c r="E21" s="6">
        <v>125</v>
      </c>
      <c r="F21" s="7">
        <v>44409</v>
      </c>
      <c r="G21" s="8">
        <v>45046</v>
      </c>
      <c r="H21" s="9">
        <f>D21*E21*21</f>
        <v>84000</v>
      </c>
      <c r="I21" s="10"/>
      <c r="J21" s="6"/>
      <c r="K21" s="11"/>
      <c r="L21" s="17"/>
      <c r="M21" s="17"/>
      <c r="N21" s="18">
        <v>18375</v>
      </c>
      <c r="O21" s="138" t="s">
        <v>100</v>
      </c>
      <c r="P21" s="134" t="s">
        <v>3</v>
      </c>
    </row>
    <row r="22" spans="1:16" ht="24.75" customHeight="1" x14ac:dyDescent="0.3">
      <c r="A22" s="1" t="s">
        <v>5</v>
      </c>
      <c r="B22" s="4" t="s">
        <v>20</v>
      </c>
      <c r="C22" s="136" t="s">
        <v>19</v>
      </c>
      <c r="D22" s="5">
        <v>25</v>
      </c>
      <c r="E22" s="6">
        <v>125</v>
      </c>
      <c r="F22" s="7">
        <v>43952</v>
      </c>
      <c r="G22" s="8">
        <v>44408</v>
      </c>
      <c r="H22" s="9">
        <f>D22*E22*15</f>
        <v>46875</v>
      </c>
      <c r="I22" s="10"/>
      <c r="J22" s="6"/>
      <c r="K22" s="11"/>
      <c r="L22" s="17"/>
      <c r="M22" s="17"/>
      <c r="N22" s="18">
        <f t="shared" ref="N22" si="3">SUM(H22:M22)</f>
        <v>46875</v>
      </c>
      <c r="O22" s="138" t="s">
        <v>79</v>
      </c>
      <c r="P22" s="134" t="s">
        <v>3</v>
      </c>
    </row>
    <row r="23" spans="1:16" ht="26.25" customHeight="1" x14ac:dyDescent="0.3">
      <c r="A23" s="1" t="s">
        <v>5</v>
      </c>
      <c r="B23" s="4" t="s">
        <v>20</v>
      </c>
      <c r="C23" s="136" t="s">
        <v>19</v>
      </c>
      <c r="D23" s="5">
        <v>32</v>
      </c>
      <c r="E23" s="6">
        <v>125</v>
      </c>
      <c r="F23" s="7">
        <v>44409</v>
      </c>
      <c r="G23" s="8">
        <v>45046</v>
      </c>
      <c r="H23" s="9">
        <f>D23*E23*21</f>
        <v>84000</v>
      </c>
      <c r="I23" s="10"/>
      <c r="J23" s="6"/>
      <c r="K23" s="11"/>
      <c r="L23" s="17"/>
      <c r="M23" s="17"/>
      <c r="N23" s="18">
        <v>18375</v>
      </c>
      <c r="O23" s="138" t="s">
        <v>100</v>
      </c>
      <c r="P23" s="134" t="s">
        <v>3</v>
      </c>
    </row>
    <row r="24" spans="1:16" ht="22.5" customHeight="1" x14ac:dyDescent="0.3">
      <c r="A24" s="1" t="s">
        <v>5</v>
      </c>
      <c r="B24" s="4" t="s">
        <v>20</v>
      </c>
      <c r="C24" s="136" t="s">
        <v>19</v>
      </c>
      <c r="D24" s="5">
        <v>32</v>
      </c>
      <c r="E24" s="6">
        <v>125</v>
      </c>
      <c r="F24" s="7">
        <v>43952</v>
      </c>
      <c r="G24" s="8">
        <v>44408</v>
      </c>
      <c r="H24" s="9">
        <f>D24*E24*15</f>
        <v>60000</v>
      </c>
      <c r="I24" s="10"/>
      <c r="J24" s="6"/>
      <c r="K24" s="11"/>
      <c r="L24" s="17"/>
      <c r="M24" s="17"/>
      <c r="N24" s="18">
        <f t="shared" ref="N24" si="4">SUM(H24:M24)</f>
        <v>60000</v>
      </c>
      <c r="O24" s="138" t="s">
        <v>79</v>
      </c>
      <c r="P24" s="134" t="s">
        <v>3</v>
      </c>
    </row>
    <row r="25" spans="1:16" ht="25.5" customHeight="1" x14ac:dyDescent="0.3">
      <c r="A25" s="1" t="s">
        <v>5</v>
      </c>
      <c r="B25" s="4" t="s">
        <v>20</v>
      </c>
      <c r="C25" s="136" t="s">
        <v>19</v>
      </c>
      <c r="D25" s="5">
        <v>25</v>
      </c>
      <c r="E25" s="6">
        <v>125</v>
      </c>
      <c r="F25" s="7">
        <v>44409</v>
      </c>
      <c r="G25" s="8">
        <v>45046</v>
      </c>
      <c r="H25" s="9">
        <f>D25*E25*21</f>
        <v>65625</v>
      </c>
      <c r="I25" s="10"/>
      <c r="J25" s="6"/>
      <c r="K25" s="11"/>
      <c r="L25" s="17"/>
      <c r="M25" s="17"/>
      <c r="N25" s="18">
        <v>18375</v>
      </c>
      <c r="O25" s="138" t="s">
        <v>100</v>
      </c>
      <c r="P25" s="134" t="s">
        <v>3</v>
      </c>
    </row>
    <row r="26" spans="1:16" ht="25.5" customHeight="1" x14ac:dyDescent="0.3">
      <c r="A26" s="1" t="s">
        <v>5</v>
      </c>
      <c r="B26" s="4" t="s">
        <v>20</v>
      </c>
      <c r="C26" s="136" t="s">
        <v>19</v>
      </c>
      <c r="D26" s="5">
        <v>32</v>
      </c>
      <c r="E26" s="6">
        <v>125</v>
      </c>
      <c r="F26" s="7">
        <v>43952</v>
      </c>
      <c r="G26" s="8">
        <v>44834</v>
      </c>
      <c r="H26" s="9">
        <f>D26*E26*21</f>
        <v>84000</v>
      </c>
      <c r="I26" s="10"/>
      <c r="J26" s="6"/>
      <c r="K26" s="11"/>
      <c r="L26" s="17"/>
      <c r="M26" s="17"/>
      <c r="N26" s="18">
        <f t="shared" ref="N26" si="5">SUM(H26:M26)</f>
        <v>84000</v>
      </c>
      <c r="O26" s="138" t="s">
        <v>76</v>
      </c>
      <c r="P26" s="134" t="s">
        <v>3</v>
      </c>
    </row>
    <row r="27" spans="1:16" ht="24" customHeight="1" x14ac:dyDescent="0.3">
      <c r="A27" s="1" t="s">
        <v>5</v>
      </c>
      <c r="B27" s="4" t="s">
        <v>20</v>
      </c>
      <c r="C27" s="136" t="s">
        <v>19</v>
      </c>
      <c r="D27" s="5">
        <v>25</v>
      </c>
      <c r="E27" s="6">
        <v>125</v>
      </c>
      <c r="F27" s="7">
        <v>43952</v>
      </c>
      <c r="G27" s="8">
        <v>44408</v>
      </c>
      <c r="H27" s="9">
        <f>D27*E27*15</f>
        <v>46875</v>
      </c>
      <c r="I27" s="10"/>
      <c r="J27" s="6"/>
      <c r="K27" s="11"/>
      <c r="L27" s="17"/>
      <c r="M27" s="17"/>
      <c r="N27" s="18">
        <f t="shared" ref="N27:N33" si="6">SUM(H27:M27)</f>
        <v>46875</v>
      </c>
      <c r="O27" s="138" t="s">
        <v>79</v>
      </c>
      <c r="P27" s="134" t="s">
        <v>3</v>
      </c>
    </row>
    <row r="28" spans="1:16" ht="22.5" customHeight="1" x14ac:dyDescent="0.3">
      <c r="A28" s="1" t="s">
        <v>5</v>
      </c>
      <c r="B28" s="4" t="s">
        <v>20</v>
      </c>
      <c r="C28" s="136" t="s">
        <v>19</v>
      </c>
      <c r="D28" s="5">
        <v>32</v>
      </c>
      <c r="E28" s="6">
        <v>125</v>
      </c>
      <c r="F28" s="7">
        <v>44409</v>
      </c>
      <c r="G28" s="8">
        <v>45046</v>
      </c>
      <c r="H28" s="9">
        <f>D28*E28*21</f>
        <v>84000</v>
      </c>
      <c r="I28" s="10"/>
      <c r="J28" s="6"/>
      <c r="K28" s="11"/>
      <c r="L28" s="17"/>
      <c r="M28" s="17"/>
      <c r="N28" s="18">
        <v>18375</v>
      </c>
      <c r="O28" s="138" t="s">
        <v>100</v>
      </c>
      <c r="P28" s="134" t="s">
        <v>3</v>
      </c>
    </row>
    <row r="29" spans="1:16" ht="26.25" customHeight="1" x14ac:dyDescent="0.3">
      <c r="A29" s="1" t="s">
        <v>5</v>
      </c>
      <c r="B29" s="4" t="s">
        <v>20</v>
      </c>
      <c r="C29" s="136" t="s">
        <v>19</v>
      </c>
      <c r="D29" s="5">
        <v>25</v>
      </c>
      <c r="E29" s="6">
        <v>125</v>
      </c>
      <c r="F29" s="7">
        <v>43952</v>
      </c>
      <c r="G29" s="8">
        <v>44408</v>
      </c>
      <c r="H29" s="9">
        <f>D29*E29*15</f>
        <v>46875</v>
      </c>
      <c r="I29" s="10"/>
      <c r="J29" s="6"/>
      <c r="K29" s="11"/>
      <c r="L29" s="17"/>
      <c r="M29" s="17"/>
      <c r="N29" s="18">
        <f t="shared" si="6"/>
        <v>46875</v>
      </c>
      <c r="O29" s="138" t="s">
        <v>22</v>
      </c>
      <c r="P29" s="134" t="s">
        <v>3</v>
      </c>
    </row>
    <row r="30" spans="1:16" ht="29.25" customHeight="1" x14ac:dyDescent="0.3">
      <c r="A30" s="1" t="s">
        <v>5</v>
      </c>
      <c r="B30" s="4" t="s">
        <v>20</v>
      </c>
      <c r="C30" s="136" t="s">
        <v>19</v>
      </c>
      <c r="D30" s="5">
        <v>32</v>
      </c>
      <c r="E30" s="6">
        <v>125</v>
      </c>
      <c r="F30" s="7">
        <v>44409</v>
      </c>
      <c r="G30" s="8">
        <v>45046</v>
      </c>
      <c r="H30" s="9">
        <f>D30*E30*21</f>
        <v>84000</v>
      </c>
      <c r="I30" s="10"/>
      <c r="J30" s="6"/>
      <c r="K30" s="11"/>
      <c r="L30" s="17"/>
      <c r="M30" s="17"/>
      <c r="N30" s="18">
        <v>18375</v>
      </c>
      <c r="O30" s="138" t="s">
        <v>100</v>
      </c>
      <c r="P30" s="134" t="s">
        <v>3</v>
      </c>
    </row>
    <row r="31" spans="1:16" ht="26.25" customHeight="1" x14ac:dyDescent="0.3">
      <c r="A31" s="1" t="s">
        <v>5</v>
      </c>
      <c r="B31" s="4" t="s">
        <v>20</v>
      </c>
      <c r="C31" s="136" t="s">
        <v>19</v>
      </c>
      <c r="D31" s="5">
        <v>25</v>
      </c>
      <c r="E31" s="6">
        <v>125</v>
      </c>
      <c r="F31" s="7">
        <v>43952</v>
      </c>
      <c r="G31" s="8">
        <v>44408</v>
      </c>
      <c r="H31" s="9">
        <f>D31*E31*15</f>
        <v>46875</v>
      </c>
      <c r="I31" s="10"/>
      <c r="J31" s="6"/>
      <c r="K31" s="11"/>
      <c r="L31" s="17"/>
      <c r="M31" s="17"/>
      <c r="N31" s="18">
        <f t="shared" si="6"/>
        <v>46875</v>
      </c>
      <c r="O31" s="138" t="s">
        <v>75</v>
      </c>
      <c r="P31" s="134" t="s">
        <v>3</v>
      </c>
    </row>
    <row r="32" spans="1:16" ht="24.75" customHeight="1" x14ac:dyDescent="0.3">
      <c r="A32" s="1" t="s">
        <v>5</v>
      </c>
      <c r="B32" s="4" t="s">
        <v>20</v>
      </c>
      <c r="C32" s="136" t="s">
        <v>19</v>
      </c>
      <c r="D32" s="5">
        <v>32</v>
      </c>
      <c r="E32" s="6">
        <v>125</v>
      </c>
      <c r="F32" s="7">
        <v>44409</v>
      </c>
      <c r="G32" s="8">
        <v>45046</v>
      </c>
      <c r="H32" s="9">
        <f>D32*E32*21</f>
        <v>84000</v>
      </c>
      <c r="I32" s="10"/>
      <c r="J32" s="6"/>
      <c r="K32" s="11"/>
      <c r="L32" s="17"/>
      <c r="M32" s="17"/>
      <c r="N32" s="18">
        <v>18375</v>
      </c>
      <c r="O32" s="138" t="s">
        <v>100</v>
      </c>
      <c r="P32" s="134" t="s">
        <v>3</v>
      </c>
    </row>
    <row r="33" spans="1:16" ht="25.5" customHeight="1" x14ac:dyDescent="0.3">
      <c r="A33" s="1" t="s">
        <v>5</v>
      </c>
      <c r="B33" s="4" t="s">
        <v>20</v>
      </c>
      <c r="C33" s="136" t="s">
        <v>19</v>
      </c>
      <c r="D33" s="5">
        <v>32</v>
      </c>
      <c r="E33" s="6">
        <v>125</v>
      </c>
      <c r="F33" s="7">
        <v>43952</v>
      </c>
      <c r="G33" s="8">
        <v>44348</v>
      </c>
      <c r="H33" s="9">
        <f>D33*E33*18</f>
        <v>72000</v>
      </c>
      <c r="I33" s="10"/>
      <c r="J33" s="6"/>
      <c r="K33" s="11"/>
      <c r="L33" s="17"/>
      <c r="M33" s="17"/>
      <c r="N33" s="18">
        <f t="shared" si="6"/>
        <v>72000</v>
      </c>
      <c r="O33" s="138" t="s">
        <v>72</v>
      </c>
      <c r="P33" s="134" t="s">
        <v>3</v>
      </c>
    </row>
    <row r="34" spans="1:16" ht="24" customHeight="1" x14ac:dyDescent="0.3">
      <c r="A34" s="1" t="s">
        <v>5</v>
      </c>
      <c r="B34" s="4" t="s">
        <v>20</v>
      </c>
      <c r="C34" s="136" t="s">
        <v>19</v>
      </c>
      <c r="D34" s="5">
        <v>32</v>
      </c>
      <c r="E34" s="6">
        <v>125</v>
      </c>
      <c r="F34" s="7">
        <v>43952</v>
      </c>
      <c r="G34" s="8">
        <v>44276</v>
      </c>
      <c r="H34" s="9">
        <f>D34*E34*15</f>
        <v>60000</v>
      </c>
      <c r="I34" s="10"/>
      <c r="J34" s="6"/>
      <c r="K34" s="11"/>
      <c r="L34" s="17"/>
      <c r="M34" s="17"/>
      <c r="N34" s="18">
        <f>SUM(H34:M34)</f>
        <v>60000</v>
      </c>
      <c r="O34" s="138" t="s">
        <v>69</v>
      </c>
      <c r="P34" s="134" t="s">
        <v>3</v>
      </c>
    </row>
    <row r="35" spans="1:16" ht="23.25" customHeight="1" x14ac:dyDescent="0.3">
      <c r="A35" s="1" t="s">
        <v>5</v>
      </c>
      <c r="B35" s="4" t="s">
        <v>20</v>
      </c>
      <c r="C35" s="136" t="s">
        <v>19</v>
      </c>
      <c r="D35" s="5">
        <v>32</v>
      </c>
      <c r="E35" s="6">
        <v>125</v>
      </c>
      <c r="F35" s="7">
        <v>44409</v>
      </c>
      <c r="G35" s="8">
        <v>44490</v>
      </c>
      <c r="H35" s="9">
        <f>D35*E35*2.5</f>
        <v>10000</v>
      </c>
      <c r="I35" s="10"/>
      <c r="J35" s="6"/>
      <c r="K35" s="11"/>
      <c r="L35" s="17"/>
      <c r="M35" s="17"/>
      <c r="N35" s="18">
        <v>7000</v>
      </c>
      <c r="O35" s="138" t="s">
        <v>99</v>
      </c>
      <c r="P35" s="134" t="s">
        <v>3</v>
      </c>
    </row>
    <row r="36" spans="1:16" ht="23.25" customHeight="1" x14ac:dyDescent="0.3">
      <c r="A36" s="1" t="s">
        <v>5</v>
      </c>
      <c r="B36" s="4" t="s">
        <v>20</v>
      </c>
      <c r="C36" s="136" t="s">
        <v>19</v>
      </c>
      <c r="D36" s="5">
        <v>32</v>
      </c>
      <c r="E36" s="6">
        <v>125</v>
      </c>
      <c r="F36" s="7">
        <v>43952</v>
      </c>
      <c r="G36" s="8">
        <v>44620</v>
      </c>
      <c r="H36" s="9">
        <v>4000</v>
      </c>
      <c r="I36" s="10"/>
      <c r="J36" s="6"/>
      <c r="K36" s="11"/>
      <c r="L36" s="17"/>
      <c r="M36" s="17"/>
      <c r="N36" s="18">
        <v>4000</v>
      </c>
      <c r="O36" s="138" t="s">
        <v>104</v>
      </c>
      <c r="P36" s="134" t="s">
        <v>3</v>
      </c>
    </row>
    <row r="37" spans="1:16" ht="24.75" customHeight="1" x14ac:dyDescent="0.3">
      <c r="A37" s="1" t="s">
        <v>5</v>
      </c>
      <c r="B37" s="104" t="s">
        <v>0</v>
      </c>
      <c r="C37" s="136" t="s">
        <v>19</v>
      </c>
      <c r="D37" s="105">
        <v>20</v>
      </c>
      <c r="E37" s="57">
        <v>80</v>
      </c>
      <c r="F37" s="7">
        <v>43952</v>
      </c>
      <c r="G37" s="8">
        <v>45046</v>
      </c>
      <c r="H37" s="9">
        <f>D37*E37*36</f>
        <v>57600</v>
      </c>
      <c r="I37" s="18"/>
      <c r="J37" s="6"/>
      <c r="K37" s="19">
        <f t="shared" ref="K37:K44" si="7">+H37*2%</f>
        <v>1152</v>
      </c>
      <c r="L37" s="21"/>
      <c r="M37" s="21"/>
      <c r="N37" s="18">
        <f t="shared" si="0"/>
        <v>58752</v>
      </c>
      <c r="O37" s="137" t="s">
        <v>86</v>
      </c>
      <c r="P37" s="134" t="s">
        <v>3</v>
      </c>
    </row>
    <row r="38" spans="1:16" ht="24" customHeight="1" x14ac:dyDescent="0.3">
      <c r="A38" s="1" t="s">
        <v>5</v>
      </c>
      <c r="B38" s="20" t="s">
        <v>0</v>
      </c>
      <c r="C38" s="136" t="s">
        <v>19</v>
      </c>
      <c r="D38" s="5">
        <v>20</v>
      </c>
      <c r="E38" s="6">
        <v>80</v>
      </c>
      <c r="F38" s="7">
        <v>43952</v>
      </c>
      <c r="G38" s="8">
        <v>44834</v>
      </c>
      <c r="H38" s="9">
        <f>D38*E38*29</f>
        <v>46400</v>
      </c>
      <c r="I38" s="18"/>
      <c r="J38" s="6"/>
      <c r="K38" s="19">
        <f t="shared" ref="K38" si="8">+H38*2%</f>
        <v>928</v>
      </c>
      <c r="L38" s="21"/>
      <c r="M38" s="21"/>
      <c r="N38" s="18">
        <f t="shared" ref="N38" si="9">SUM(H38:M38)</f>
        <v>47328</v>
      </c>
      <c r="O38" s="137" t="s">
        <v>86</v>
      </c>
      <c r="P38" s="134" t="s">
        <v>3</v>
      </c>
    </row>
    <row r="39" spans="1:16" ht="25.5" customHeight="1" x14ac:dyDescent="0.3">
      <c r="A39" s="1" t="s">
        <v>5</v>
      </c>
      <c r="B39" s="22" t="s">
        <v>0</v>
      </c>
      <c r="C39" s="136" t="s">
        <v>19</v>
      </c>
      <c r="D39" s="16">
        <v>20</v>
      </c>
      <c r="E39" s="23">
        <v>100</v>
      </c>
      <c r="F39" s="7">
        <v>43952</v>
      </c>
      <c r="G39" s="8">
        <v>44698</v>
      </c>
      <c r="H39" s="9">
        <f>D39*E39*24.5</f>
        <v>49000</v>
      </c>
      <c r="I39" s="18"/>
      <c r="J39" s="6"/>
      <c r="K39" s="19">
        <f t="shared" ref="K39" si="10">+H39*2%</f>
        <v>980</v>
      </c>
      <c r="L39" s="21"/>
      <c r="M39" s="21"/>
      <c r="N39" s="18">
        <f t="shared" ref="N39" si="11">SUM(H39:M39)</f>
        <v>49980</v>
      </c>
      <c r="O39" s="137" t="s">
        <v>86</v>
      </c>
      <c r="P39" s="134" t="s">
        <v>3</v>
      </c>
    </row>
    <row r="40" spans="1:16" ht="26.25" customHeight="1" x14ac:dyDescent="0.3">
      <c r="A40" s="1" t="s">
        <v>5</v>
      </c>
      <c r="B40" s="22" t="s">
        <v>0</v>
      </c>
      <c r="C40" s="136" t="s">
        <v>19</v>
      </c>
      <c r="D40" s="16">
        <v>20</v>
      </c>
      <c r="E40" s="23">
        <v>80</v>
      </c>
      <c r="F40" s="7">
        <v>43952</v>
      </c>
      <c r="G40" s="8">
        <v>45046</v>
      </c>
      <c r="H40" s="9">
        <f t="shared" ref="H40:H47" si="12">D40*E40*36</f>
        <v>57600</v>
      </c>
      <c r="I40" s="18"/>
      <c r="J40" s="6"/>
      <c r="K40" s="19">
        <f t="shared" ref="K40" si="13">+H40*2%</f>
        <v>1152</v>
      </c>
      <c r="L40" s="21"/>
      <c r="M40" s="21"/>
      <c r="N40" s="18">
        <f t="shared" ref="N40" si="14">SUM(H40:M40)</f>
        <v>58752</v>
      </c>
      <c r="O40" s="137" t="s">
        <v>86</v>
      </c>
      <c r="P40" s="134" t="s">
        <v>3</v>
      </c>
    </row>
    <row r="41" spans="1:16" ht="23.25" customHeight="1" x14ac:dyDescent="0.3">
      <c r="A41" s="1" t="s">
        <v>5</v>
      </c>
      <c r="B41" s="22" t="s">
        <v>0</v>
      </c>
      <c r="C41" s="136" t="s">
        <v>19</v>
      </c>
      <c r="D41" s="16">
        <v>20</v>
      </c>
      <c r="E41" s="23">
        <v>80</v>
      </c>
      <c r="F41" s="7">
        <v>43952</v>
      </c>
      <c r="G41" s="8">
        <v>45046</v>
      </c>
      <c r="H41" s="9">
        <f t="shared" si="12"/>
        <v>57600</v>
      </c>
      <c r="I41" s="18"/>
      <c r="J41" s="6"/>
      <c r="K41" s="19">
        <f t="shared" ref="K41" si="15">+H41*2%</f>
        <v>1152</v>
      </c>
      <c r="L41" s="21"/>
      <c r="M41" s="21"/>
      <c r="N41" s="18">
        <f t="shared" ref="N41" si="16">SUM(H41:M41)</f>
        <v>58752</v>
      </c>
      <c r="O41" s="137" t="s">
        <v>86</v>
      </c>
      <c r="P41" s="134" t="s">
        <v>3</v>
      </c>
    </row>
    <row r="42" spans="1:16" ht="24.75" customHeight="1" x14ac:dyDescent="0.3">
      <c r="A42" s="1" t="s">
        <v>5</v>
      </c>
      <c r="B42" s="20" t="s">
        <v>0</v>
      </c>
      <c r="C42" s="136" t="s">
        <v>19</v>
      </c>
      <c r="D42" s="5">
        <v>20</v>
      </c>
      <c r="E42" s="24">
        <v>80</v>
      </c>
      <c r="F42" s="7">
        <v>43952</v>
      </c>
      <c r="G42" s="8">
        <v>45046</v>
      </c>
      <c r="H42" s="9">
        <f t="shared" si="12"/>
        <v>57600</v>
      </c>
      <c r="I42" s="18"/>
      <c r="J42" s="6"/>
      <c r="K42" s="19">
        <f t="shared" ref="K42" si="17">+H42*2%</f>
        <v>1152</v>
      </c>
      <c r="L42" s="21"/>
      <c r="M42" s="21"/>
      <c r="N42" s="18">
        <f t="shared" ref="N42" si="18">SUM(H42:M42)</f>
        <v>58752</v>
      </c>
      <c r="O42" s="137" t="s">
        <v>86</v>
      </c>
      <c r="P42" s="134" t="s">
        <v>3</v>
      </c>
    </row>
    <row r="43" spans="1:16" ht="27.75" customHeight="1" x14ac:dyDescent="0.3">
      <c r="A43" s="1" t="s">
        <v>5</v>
      </c>
      <c r="B43" s="20" t="s">
        <v>0</v>
      </c>
      <c r="C43" s="136" t="s">
        <v>19</v>
      </c>
      <c r="D43" s="16">
        <v>20</v>
      </c>
      <c r="E43" s="23">
        <v>80</v>
      </c>
      <c r="F43" s="7">
        <v>43952</v>
      </c>
      <c r="G43" s="8">
        <v>45046</v>
      </c>
      <c r="H43" s="9">
        <f t="shared" si="12"/>
        <v>57600</v>
      </c>
      <c r="I43" s="18"/>
      <c r="J43" s="6"/>
      <c r="K43" s="19">
        <f t="shared" si="7"/>
        <v>1152</v>
      </c>
      <c r="L43" s="21"/>
      <c r="M43" s="21"/>
      <c r="N43" s="18">
        <f t="shared" si="0"/>
        <v>58752</v>
      </c>
      <c r="O43" s="137" t="s">
        <v>24</v>
      </c>
      <c r="P43" s="134" t="s">
        <v>3</v>
      </c>
    </row>
    <row r="44" spans="1:16" ht="24.75" customHeight="1" x14ac:dyDescent="0.3">
      <c r="A44" s="1" t="s">
        <v>5</v>
      </c>
      <c r="B44" s="20" t="s">
        <v>0</v>
      </c>
      <c r="C44" s="136" t="s">
        <v>19</v>
      </c>
      <c r="D44" s="16">
        <v>20</v>
      </c>
      <c r="E44" s="23">
        <v>80</v>
      </c>
      <c r="F44" s="7">
        <v>43952</v>
      </c>
      <c r="G44" s="8">
        <v>45046</v>
      </c>
      <c r="H44" s="9">
        <f t="shared" si="12"/>
        <v>57600</v>
      </c>
      <c r="I44" s="18"/>
      <c r="J44" s="6"/>
      <c r="K44" s="19">
        <f t="shared" si="7"/>
        <v>1152</v>
      </c>
      <c r="L44" s="21"/>
      <c r="M44" s="21"/>
      <c r="N44" s="18">
        <f t="shared" ref="N44:N56" si="19">SUM(H44:M44)</f>
        <v>58752</v>
      </c>
      <c r="O44" s="137" t="s">
        <v>70</v>
      </c>
      <c r="P44" s="134" t="s">
        <v>3</v>
      </c>
    </row>
    <row r="45" spans="1:16" ht="24.75" customHeight="1" x14ac:dyDescent="0.3">
      <c r="A45" s="1" t="s">
        <v>5</v>
      </c>
      <c r="B45" s="4" t="s">
        <v>25</v>
      </c>
      <c r="C45" s="136" t="s">
        <v>19</v>
      </c>
      <c r="D45" s="5">
        <v>17.239999999999998</v>
      </c>
      <c r="E45" s="6">
        <v>136</v>
      </c>
      <c r="F45" s="7">
        <v>43952</v>
      </c>
      <c r="G45" s="8">
        <v>45046</v>
      </c>
      <c r="H45" s="9">
        <f t="shared" si="12"/>
        <v>84407.039999999994</v>
      </c>
      <c r="I45" s="106"/>
      <c r="J45" s="6"/>
      <c r="K45" s="11"/>
      <c r="L45" s="21"/>
      <c r="M45" s="65">
        <f t="shared" ref="M45" si="20">+H45*2%</f>
        <v>1688.1407999999999</v>
      </c>
      <c r="N45" s="18">
        <f t="shared" si="19"/>
        <v>86095.180799999987</v>
      </c>
      <c r="O45" s="137" t="s">
        <v>94</v>
      </c>
      <c r="P45" s="134" t="s">
        <v>3</v>
      </c>
    </row>
    <row r="46" spans="1:16" ht="28.5" customHeight="1" x14ac:dyDescent="0.3">
      <c r="A46" s="1" t="s">
        <v>5</v>
      </c>
      <c r="B46" s="4" t="s">
        <v>25</v>
      </c>
      <c r="C46" s="136" t="s">
        <v>19</v>
      </c>
      <c r="D46" s="5">
        <v>17.239999999999998</v>
      </c>
      <c r="E46" s="6">
        <v>136</v>
      </c>
      <c r="F46" s="7">
        <v>43952</v>
      </c>
      <c r="G46" s="8">
        <v>45046</v>
      </c>
      <c r="H46" s="9">
        <f t="shared" si="12"/>
        <v>84407.039999999994</v>
      </c>
      <c r="I46" s="106"/>
      <c r="J46" s="6"/>
      <c r="K46" s="11"/>
      <c r="L46" s="21"/>
      <c r="M46" s="65">
        <f t="shared" ref="M46" si="21">+H46*2%</f>
        <v>1688.1407999999999</v>
      </c>
      <c r="N46" s="18">
        <f t="shared" si="19"/>
        <v>86095.180799999987</v>
      </c>
      <c r="O46" s="137" t="s">
        <v>94</v>
      </c>
      <c r="P46" s="134" t="s">
        <v>3</v>
      </c>
    </row>
    <row r="47" spans="1:16" ht="26.25" customHeight="1" x14ac:dyDescent="0.3">
      <c r="A47" s="1" t="s">
        <v>5</v>
      </c>
      <c r="B47" s="4" t="s">
        <v>25</v>
      </c>
      <c r="C47" s="136" t="s">
        <v>19</v>
      </c>
      <c r="D47" s="5">
        <v>17.239999999999998</v>
      </c>
      <c r="E47" s="6">
        <v>136</v>
      </c>
      <c r="F47" s="7">
        <v>43952</v>
      </c>
      <c r="G47" s="8">
        <v>45046</v>
      </c>
      <c r="H47" s="9">
        <f t="shared" si="12"/>
        <v>84407.039999999994</v>
      </c>
      <c r="I47" s="106"/>
      <c r="J47" s="6"/>
      <c r="K47" s="11"/>
      <c r="L47" s="21"/>
      <c r="M47" s="65">
        <f t="shared" ref="M47" si="22">+H47*2%</f>
        <v>1688.1407999999999</v>
      </c>
      <c r="N47" s="18">
        <f t="shared" si="19"/>
        <v>86095.180799999987</v>
      </c>
      <c r="O47" s="137" t="s">
        <v>94</v>
      </c>
      <c r="P47" s="134" t="s">
        <v>3</v>
      </c>
    </row>
    <row r="48" spans="1:16" ht="25.5" customHeight="1" x14ac:dyDescent="0.3">
      <c r="A48" s="1" t="s">
        <v>5</v>
      </c>
      <c r="B48" s="26" t="s">
        <v>27</v>
      </c>
      <c r="C48" s="136" t="s">
        <v>19</v>
      </c>
      <c r="D48" s="27">
        <v>32.5</v>
      </c>
      <c r="E48" s="28">
        <v>50</v>
      </c>
      <c r="F48" s="7">
        <v>43952</v>
      </c>
      <c r="G48" s="8">
        <v>44599</v>
      </c>
      <c r="H48" s="9">
        <f>D48*E48*20</f>
        <v>32500</v>
      </c>
      <c r="I48" s="10"/>
      <c r="J48" s="107"/>
      <c r="K48" s="29"/>
      <c r="L48" s="13"/>
      <c r="M48" s="13"/>
      <c r="N48" s="18">
        <f t="shared" si="19"/>
        <v>32500</v>
      </c>
      <c r="O48" s="137" t="s">
        <v>82</v>
      </c>
      <c r="P48" s="134" t="s">
        <v>3</v>
      </c>
    </row>
    <row r="49" spans="1:16" ht="26.25" customHeight="1" x14ac:dyDescent="0.3">
      <c r="A49" s="1" t="s">
        <v>5</v>
      </c>
      <c r="B49" s="26" t="s">
        <v>27</v>
      </c>
      <c r="C49" s="136" t="s">
        <v>19</v>
      </c>
      <c r="D49" s="27">
        <v>32.5</v>
      </c>
      <c r="E49" s="28">
        <v>160</v>
      </c>
      <c r="F49" s="7">
        <v>43952</v>
      </c>
      <c r="G49" s="8">
        <v>44439</v>
      </c>
      <c r="H49" s="9">
        <f>D49*E49*8</f>
        <v>41600</v>
      </c>
      <c r="I49" s="10"/>
      <c r="J49" s="107"/>
      <c r="K49" s="29"/>
      <c r="L49" s="13"/>
      <c r="M49" s="13"/>
      <c r="N49" s="18">
        <f t="shared" si="19"/>
        <v>41600</v>
      </c>
      <c r="O49" s="137" t="s">
        <v>82</v>
      </c>
      <c r="P49" s="134" t="s">
        <v>3</v>
      </c>
    </row>
    <row r="50" spans="1:16" ht="27.75" customHeight="1" x14ac:dyDescent="0.3">
      <c r="A50" s="1" t="s">
        <v>5</v>
      </c>
      <c r="B50" s="30" t="s">
        <v>27</v>
      </c>
      <c r="C50" s="136" t="s">
        <v>19</v>
      </c>
      <c r="D50" s="27">
        <v>32.5</v>
      </c>
      <c r="E50" s="31">
        <v>32</v>
      </c>
      <c r="F50" s="7">
        <v>43952</v>
      </c>
      <c r="G50" s="8">
        <v>44361</v>
      </c>
      <c r="H50" s="9">
        <f>D50*E50*13.5</f>
        <v>14040</v>
      </c>
      <c r="I50" s="10">
        <f t="shared" ref="I50:I58" si="23">H50/4*3</f>
        <v>10530</v>
      </c>
      <c r="J50" s="107"/>
      <c r="K50" s="29"/>
      <c r="L50" s="13"/>
      <c r="M50" s="13"/>
      <c r="N50" s="18">
        <f t="shared" si="19"/>
        <v>24570</v>
      </c>
      <c r="O50" s="137" t="s">
        <v>29</v>
      </c>
      <c r="P50" s="134" t="s">
        <v>3</v>
      </c>
    </row>
    <row r="51" spans="1:16" ht="27.75" customHeight="1" x14ac:dyDescent="0.3">
      <c r="A51" s="1" t="s">
        <v>5</v>
      </c>
      <c r="B51" s="30" t="s">
        <v>27</v>
      </c>
      <c r="C51" s="136" t="s">
        <v>19</v>
      </c>
      <c r="D51" s="27">
        <v>38</v>
      </c>
      <c r="E51" s="31">
        <v>134</v>
      </c>
      <c r="F51" s="7">
        <v>44621</v>
      </c>
      <c r="G51" s="8">
        <v>45716</v>
      </c>
      <c r="H51" s="9">
        <f>D51*E51*36</f>
        <v>183312</v>
      </c>
      <c r="I51" s="10"/>
      <c r="J51" s="107"/>
      <c r="K51" s="29"/>
      <c r="L51" s="13"/>
      <c r="M51" s="13"/>
      <c r="N51" s="18">
        <f t="shared" ref="N51" si="24">SUM(H51:M51)</f>
        <v>183312</v>
      </c>
      <c r="O51" s="137" t="s">
        <v>105</v>
      </c>
      <c r="P51" s="134" t="s">
        <v>3</v>
      </c>
    </row>
    <row r="52" spans="1:16" ht="35.25" x14ac:dyDescent="0.3">
      <c r="A52" s="1" t="s">
        <v>5</v>
      </c>
      <c r="B52" s="152" t="s">
        <v>30</v>
      </c>
      <c r="C52" s="136" t="s">
        <v>19</v>
      </c>
      <c r="D52" s="27">
        <v>32.28</v>
      </c>
      <c r="E52" s="28">
        <v>30</v>
      </c>
      <c r="F52" s="7">
        <v>43466</v>
      </c>
      <c r="G52" s="8">
        <v>43951</v>
      </c>
      <c r="H52" s="9">
        <f>D52*E52*16</f>
        <v>15494.400000000001</v>
      </c>
      <c r="I52" s="10">
        <f t="shared" si="23"/>
        <v>11620.800000000001</v>
      </c>
      <c r="J52" s="32"/>
      <c r="K52" s="33"/>
      <c r="L52" s="21"/>
      <c r="M52" s="21"/>
      <c r="N52" s="18">
        <f t="shared" si="19"/>
        <v>27115.200000000004</v>
      </c>
      <c r="O52" s="137" t="s">
        <v>31</v>
      </c>
      <c r="P52" s="134" t="s">
        <v>3</v>
      </c>
    </row>
    <row r="53" spans="1:16" ht="27" customHeight="1" x14ac:dyDescent="0.3">
      <c r="A53" s="1" t="s">
        <v>5</v>
      </c>
      <c r="B53" s="26" t="s">
        <v>30</v>
      </c>
      <c r="C53" s="136" t="s">
        <v>19</v>
      </c>
      <c r="D53" s="27">
        <v>32.5</v>
      </c>
      <c r="E53" s="28">
        <v>40</v>
      </c>
      <c r="F53" s="7">
        <v>43831</v>
      </c>
      <c r="G53" s="8">
        <v>45046</v>
      </c>
      <c r="H53" s="9">
        <f>D53*E53*40</f>
        <v>52000</v>
      </c>
      <c r="I53" s="10"/>
      <c r="J53" s="32"/>
      <c r="K53" s="33"/>
      <c r="L53" s="21"/>
      <c r="M53" s="21"/>
      <c r="N53" s="18">
        <f t="shared" si="19"/>
        <v>52000</v>
      </c>
      <c r="O53" s="137" t="s">
        <v>95</v>
      </c>
      <c r="P53" s="134" t="s">
        <v>3</v>
      </c>
    </row>
    <row r="54" spans="1:16" ht="27.75" customHeight="1" x14ac:dyDescent="0.3">
      <c r="A54" s="1" t="s">
        <v>5</v>
      </c>
      <c r="B54" s="108" t="s">
        <v>34</v>
      </c>
      <c r="C54" s="136" t="s">
        <v>19</v>
      </c>
      <c r="D54" s="27">
        <v>32.5</v>
      </c>
      <c r="E54" s="109">
        <v>16</v>
      </c>
      <c r="F54" s="7">
        <v>43952</v>
      </c>
      <c r="G54" s="8">
        <v>44576</v>
      </c>
      <c r="H54" s="9">
        <f>D54*E54*20.5</f>
        <v>10660</v>
      </c>
      <c r="I54" s="10"/>
      <c r="J54" s="17"/>
      <c r="K54" s="11"/>
      <c r="L54" s="17"/>
      <c r="M54" s="17"/>
      <c r="N54" s="18">
        <f t="shared" si="19"/>
        <v>10660</v>
      </c>
      <c r="O54" s="137" t="s">
        <v>80</v>
      </c>
      <c r="P54" s="134" t="s">
        <v>3</v>
      </c>
    </row>
    <row r="55" spans="1:16" ht="30.75" customHeight="1" x14ac:dyDescent="0.3">
      <c r="A55" s="1" t="s">
        <v>5</v>
      </c>
      <c r="B55" s="108" t="s">
        <v>2</v>
      </c>
      <c r="C55" s="136" t="s">
        <v>19</v>
      </c>
      <c r="D55" s="27">
        <v>32.5</v>
      </c>
      <c r="E55" s="109">
        <v>31</v>
      </c>
      <c r="F55" s="7">
        <v>43952</v>
      </c>
      <c r="G55" s="8">
        <v>44348</v>
      </c>
      <c r="H55" s="9">
        <f>D55*E55*13</f>
        <v>13097.5</v>
      </c>
      <c r="I55" s="10">
        <f t="shared" si="23"/>
        <v>9823.125</v>
      </c>
      <c r="J55" s="17"/>
      <c r="K55" s="11"/>
      <c r="L55" s="17"/>
      <c r="M55" s="17"/>
      <c r="N55" s="18">
        <f t="shared" si="19"/>
        <v>22920.625</v>
      </c>
      <c r="O55" s="137" t="s">
        <v>80</v>
      </c>
      <c r="P55" s="134" t="s">
        <v>3</v>
      </c>
    </row>
    <row r="56" spans="1:16" ht="31.5" customHeight="1" x14ac:dyDescent="0.3">
      <c r="A56" s="1" t="s">
        <v>5</v>
      </c>
      <c r="B56" s="7" t="s">
        <v>35</v>
      </c>
      <c r="C56" s="136" t="s">
        <v>19</v>
      </c>
      <c r="D56" s="36">
        <v>32.5</v>
      </c>
      <c r="E56" s="38">
        <v>16</v>
      </c>
      <c r="F56" s="7">
        <v>43952</v>
      </c>
      <c r="G56" s="8">
        <v>45046</v>
      </c>
      <c r="H56" s="9">
        <f>D56*E56*36</f>
        <v>18720</v>
      </c>
      <c r="I56" s="10">
        <f t="shared" si="23"/>
        <v>14040</v>
      </c>
      <c r="J56" s="28"/>
      <c r="K56" s="37"/>
      <c r="L56" s="28"/>
      <c r="M56" s="28"/>
      <c r="N56" s="18">
        <f t="shared" si="19"/>
        <v>32760</v>
      </c>
      <c r="O56" s="137" t="s">
        <v>83</v>
      </c>
      <c r="P56" s="134" t="s">
        <v>3</v>
      </c>
    </row>
    <row r="57" spans="1:16" ht="27" customHeight="1" x14ac:dyDescent="0.3">
      <c r="A57" s="1" t="s">
        <v>5</v>
      </c>
      <c r="B57" s="7" t="s">
        <v>36</v>
      </c>
      <c r="C57" s="136" t="s">
        <v>19</v>
      </c>
      <c r="D57" s="27">
        <v>32.5</v>
      </c>
      <c r="E57" s="38">
        <v>8</v>
      </c>
      <c r="F57" s="7">
        <v>43952</v>
      </c>
      <c r="G57" s="8">
        <v>45046</v>
      </c>
      <c r="H57" s="9">
        <f>D57*E57*36</f>
        <v>9360</v>
      </c>
      <c r="I57" s="10">
        <f t="shared" si="23"/>
        <v>7020</v>
      </c>
      <c r="J57" s="39"/>
      <c r="K57" s="40"/>
      <c r="L57" s="21"/>
      <c r="M57" s="21"/>
      <c r="N57" s="18">
        <f t="shared" si="0"/>
        <v>16380</v>
      </c>
      <c r="O57" s="137" t="s">
        <v>83</v>
      </c>
      <c r="P57" s="134" t="s">
        <v>3</v>
      </c>
    </row>
    <row r="58" spans="1:16" ht="30.75" customHeight="1" x14ac:dyDescent="0.3">
      <c r="A58" s="1" t="s">
        <v>5</v>
      </c>
      <c r="B58" s="7" t="s">
        <v>38</v>
      </c>
      <c r="C58" s="136" t="s">
        <v>19</v>
      </c>
      <c r="D58" s="27">
        <v>32.5</v>
      </c>
      <c r="E58" s="38">
        <v>16</v>
      </c>
      <c r="F58" s="7">
        <v>43952</v>
      </c>
      <c r="G58" s="8">
        <v>45046</v>
      </c>
      <c r="H58" s="9">
        <f>D58*E58*36</f>
        <v>18720</v>
      </c>
      <c r="I58" s="10">
        <f t="shared" si="23"/>
        <v>14040</v>
      </c>
      <c r="J58" s="39"/>
      <c r="K58" s="40"/>
      <c r="L58" s="21"/>
      <c r="M58" s="21"/>
      <c r="N58" s="18">
        <f t="shared" si="0"/>
        <v>32760</v>
      </c>
      <c r="O58" s="137" t="s">
        <v>81</v>
      </c>
      <c r="P58" s="134" t="s">
        <v>3</v>
      </c>
    </row>
    <row r="59" spans="1:16" ht="25.5" customHeight="1" x14ac:dyDescent="0.3">
      <c r="A59" s="1" t="s">
        <v>5</v>
      </c>
      <c r="B59" s="7" t="s">
        <v>40</v>
      </c>
      <c r="C59" s="136" t="s">
        <v>19</v>
      </c>
      <c r="D59" s="27">
        <v>32.5</v>
      </c>
      <c r="E59" s="38">
        <v>100</v>
      </c>
      <c r="F59" s="7">
        <v>43952</v>
      </c>
      <c r="G59" s="8">
        <v>45046</v>
      </c>
      <c r="H59" s="9">
        <f>D59*E59*36</f>
        <v>117000</v>
      </c>
      <c r="I59" s="10"/>
      <c r="J59" s="39"/>
      <c r="K59" s="40"/>
      <c r="L59" s="21"/>
      <c r="M59" s="21"/>
      <c r="N59" s="18">
        <f t="shared" ref="N59" si="25">SUM(H59:M59)</f>
        <v>117000</v>
      </c>
      <c r="O59" s="137" t="s">
        <v>42</v>
      </c>
      <c r="P59" s="134" t="s">
        <v>3</v>
      </c>
    </row>
    <row r="60" spans="1:16" ht="28.5" customHeight="1" x14ac:dyDescent="0.3">
      <c r="A60" s="1" t="s">
        <v>5</v>
      </c>
      <c r="B60" s="7" t="s">
        <v>43</v>
      </c>
      <c r="C60" s="136" t="s">
        <v>19</v>
      </c>
      <c r="D60" s="27">
        <v>32.5</v>
      </c>
      <c r="E60" s="38">
        <v>15</v>
      </c>
      <c r="F60" s="7">
        <v>43952</v>
      </c>
      <c r="G60" s="8">
        <v>44325</v>
      </c>
      <c r="H60" s="9">
        <f>D60*E60*12</f>
        <v>5850</v>
      </c>
      <c r="I60" s="10"/>
      <c r="J60" s="39"/>
      <c r="K60" s="40"/>
      <c r="L60" s="21"/>
      <c r="M60" s="21"/>
      <c r="N60" s="18">
        <f t="shared" ref="N60" si="26">SUM(H60:M60)</f>
        <v>5850</v>
      </c>
      <c r="O60" s="137" t="s">
        <v>44</v>
      </c>
      <c r="P60" s="134" t="s">
        <v>3</v>
      </c>
    </row>
    <row r="61" spans="1:16" ht="30" customHeight="1" x14ac:dyDescent="0.3">
      <c r="A61" s="1" t="s">
        <v>5</v>
      </c>
      <c r="B61" s="7" t="s">
        <v>43</v>
      </c>
      <c r="C61" s="136" t="s">
        <v>19</v>
      </c>
      <c r="D61" s="27">
        <v>32.5</v>
      </c>
      <c r="E61" s="38">
        <v>15</v>
      </c>
      <c r="F61" s="7">
        <v>43952</v>
      </c>
      <c r="G61" s="8">
        <v>44377</v>
      </c>
      <c r="H61" s="9">
        <f>D61*E61*14</f>
        <v>6825</v>
      </c>
      <c r="I61" s="10"/>
      <c r="J61" s="39"/>
      <c r="K61" s="40"/>
      <c r="L61" s="21"/>
      <c r="M61" s="21"/>
      <c r="N61" s="18">
        <f t="shared" ref="N61" si="27">SUM(H61:M61)</f>
        <v>6825</v>
      </c>
      <c r="O61" s="137" t="s">
        <v>44</v>
      </c>
      <c r="P61" s="134" t="s">
        <v>3</v>
      </c>
    </row>
    <row r="62" spans="1:16" ht="30" customHeight="1" x14ac:dyDescent="0.3">
      <c r="A62" s="1" t="s">
        <v>5</v>
      </c>
      <c r="B62" s="7" t="s">
        <v>43</v>
      </c>
      <c r="C62" s="136" t="s">
        <v>19</v>
      </c>
      <c r="D62" s="27">
        <v>32.5</v>
      </c>
      <c r="E62" s="38">
        <v>15</v>
      </c>
      <c r="F62" s="7">
        <v>44431</v>
      </c>
      <c r="G62" s="8">
        <v>45046</v>
      </c>
      <c r="H62" s="9">
        <f>D62*E62*20.75</f>
        <v>10115.625</v>
      </c>
      <c r="I62" s="10"/>
      <c r="J62" s="39"/>
      <c r="K62" s="40"/>
      <c r="L62" s="21"/>
      <c r="M62" s="21"/>
      <c r="N62" s="18">
        <f t="shared" ref="N62" si="28">SUM(H62:M62)</f>
        <v>10115.625</v>
      </c>
      <c r="O62" s="140">
        <v>44488</v>
      </c>
      <c r="P62" s="134" t="s">
        <v>3</v>
      </c>
    </row>
    <row r="63" spans="1:16" ht="26.25" customHeight="1" x14ac:dyDescent="0.3">
      <c r="A63" s="1" t="s">
        <v>5</v>
      </c>
      <c r="B63" s="7" t="s">
        <v>45</v>
      </c>
      <c r="C63" s="136" t="s">
        <v>19</v>
      </c>
      <c r="D63" s="27">
        <v>17.34</v>
      </c>
      <c r="E63" s="38">
        <v>134</v>
      </c>
      <c r="F63" s="7">
        <v>43891</v>
      </c>
      <c r="G63" s="8">
        <v>44276</v>
      </c>
      <c r="H63" s="9">
        <f>D63*E63*12.75</f>
        <v>29625.39</v>
      </c>
      <c r="I63" s="41"/>
      <c r="J63" s="39"/>
      <c r="K63" s="40"/>
      <c r="L63" s="21"/>
      <c r="M63" s="21"/>
      <c r="N63" s="18">
        <f t="shared" si="0"/>
        <v>29625.39</v>
      </c>
      <c r="O63" s="137" t="s">
        <v>46</v>
      </c>
      <c r="P63" s="134" t="s">
        <v>3</v>
      </c>
    </row>
    <row r="64" spans="1:16" ht="27" customHeight="1" x14ac:dyDescent="0.3">
      <c r="A64" s="1" t="s">
        <v>5</v>
      </c>
      <c r="B64" s="121" t="s">
        <v>1</v>
      </c>
      <c r="C64" s="136" t="s">
        <v>19</v>
      </c>
      <c r="D64" s="27">
        <v>20</v>
      </c>
      <c r="E64" s="43">
        <v>44</v>
      </c>
      <c r="F64" s="7">
        <v>44154</v>
      </c>
      <c r="G64" s="8">
        <v>44322</v>
      </c>
      <c r="H64" s="9">
        <f>D64*E64*5.75</f>
        <v>5060</v>
      </c>
      <c r="I64" s="25"/>
      <c r="J64" s="25"/>
      <c r="K64" s="44"/>
      <c r="L64" s="45"/>
      <c r="M64" s="45"/>
      <c r="N64" s="18">
        <f t="shared" ref="N64:N65" si="29">SUM(H64:M64)</f>
        <v>5060</v>
      </c>
      <c r="O64" s="141" t="s">
        <v>71</v>
      </c>
      <c r="P64" s="134" t="s">
        <v>3</v>
      </c>
    </row>
    <row r="65" spans="1:16" ht="23.25" customHeight="1" x14ac:dyDescent="0.3">
      <c r="A65" s="1" t="s">
        <v>5</v>
      </c>
      <c r="B65" s="42" t="s">
        <v>1</v>
      </c>
      <c r="C65" s="136" t="s">
        <v>19</v>
      </c>
      <c r="D65" s="27">
        <v>20</v>
      </c>
      <c r="E65" s="43">
        <v>135</v>
      </c>
      <c r="F65" s="7">
        <v>44354</v>
      </c>
      <c r="G65" s="8">
        <v>44673</v>
      </c>
      <c r="H65" s="9">
        <f>D65*E65*11</f>
        <v>29700</v>
      </c>
      <c r="I65" s="25"/>
      <c r="J65" s="25">
        <f t="shared" ref="J65" si="30">+H65*4%</f>
        <v>1188</v>
      </c>
      <c r="K65" s="44"/>
      <c r="L65" s="45"/>
      <c r="M65" s="45"/>
      <c r="N65" s="18">
        <f t="shared" si="29"/>
        <v>30888</v>
      </c>
      <c r="O65" s="141" t="s">
        <v>102</v>
      </c>
      <c r="P65" s="134" t="s">
        <v>3</v>
      </c>
    </row>
    <row r="66" spans="1:16" ht="21.75" customHeight="1" x14ac:dyDescent="0.3">
      <c r="A66" s="1" t="s">
        <v>5</v>
      </c>
      <c r="B66" s="122" t="s">
        <v>20</v>
      </c>
      <c r="C66" s="153" t="s">
        <v>51</v>
      </c>
      <c r="D66" s="46">
        <v>25</v>
      </c>
      <c r="E66" s="47">
        <v>125</v>
      </c>
      <c r="F66" s="7">
        <v>43952</v>
      </c>
      <c r="G66" s="8">
        <v>44408</v>
      </c>
      <c r="H66" s="9">
        <f>D66*E66*15</f>
        <v>46875</v>
      </c>
      <c r="I66" s="10"/>
      <c r="J66" s="6"/>
      <c r="K66" s="11"/>
      <c r="L66" s="21"/>
      <c r="M66" s="21"/>
      <c r="N66" s="18">
        <f t="shared" ref="N66" si="31">SUM(H66:M66)</f>
        <v>46875</v>
      </c>
      <c r="O66" s="142" t="s">
        <v>79</v>
      </c>
      <c r="P66" s="134" t="s">
        <v>3</v>
      </c>
    </row>
    <row r="67" spans="1:16" ht="22.5" x14ac:dyDescent="0.3">
      <c r="A67" s="1" t="s">
        <v>5</v>
      </c>
      <c r="B67" s="122" t="s">
        <v>20</v>
      </c>
      <c r="C67" s="153" t="s">
        <v>51</v>
      </c>
      <c r="D67" s="46">
        <v>32</v>
      </c>
      <c r="E67" s="47">
        <v>125</v>
      </c>
      <c r="F67" s="7">
        <v>44409</v>
      </c>
      <c r="G67" s="8">
        <v>45046</v>
      </c>
      <c r="H67" s="9">
        <f>D67*E67*21</f>
        <v>84000</v>
      </c>
      <c r="I67" s="10"/>
      <c r="J67" s="6"/>
      <c r="K67" s="11"/>
      <c r="L67" s="21"/>
      <c r="M67" s="21"/>
      <c r="N67" s="18">
        <f t="shared" ref="N67:N68" si="32">SUM(H67:M67)</f>
        <v>84000</v>
      </c>
      <c r="O67" s="142" t="s">
        <v>100</v>
      </c>
      <c r="P67" s="134" t="s">
        <v>3</v>
      </c>
    </row>
    <row r="68" spans="1:16" ht="22.5" x14ac:dyDescent="0.3">
      <c r="A68" s="1" t="s">
        <v>5</v>
      </c>
      <c r="B68" s="122" t="s">
        <v>20</v>
      </c>
      <c r="C68" s="153" t="s">
        <v>51</v>
      </c>
      <c r="D68" s="46">
        <v>32</v>
      </c>
      <c r="E68" s="47">
        <v>125</v>
      </c>
      <c r="F68" s="7">
        <v>44578</v>
      </c>
      <c r="G68" s="8">
        <v>45046</v>
      </c>
      <c r="H68" s="9">
        <f>D68*E68*15.5</f>
        <v>62000</v>
      </c>
      <c r="I68" s="155"/>
      <c r="J68" s="6"/>
      <c r="K68" s="11"/>
      <c r="L68" s="21"/>
      <c r="M68" s="21"/>
      <c r="N68" s="18">
        <f t="shared" si="32"/>
        <v>62000</v>
      </c>
      <c r="O68" s="142" t="s">
        <v>112</v>
      </c>
      <c r="P68" s="134" t="s">
        <v>3</v>
      </c>
    </row>
    <row r="69" spans="1:16" ht="24.75" customHeight="1" x14ac:dyDescent="0.3">
      <c r="A69" s="1" t="s">
        <v>5</v>
      </c>
      <c r="B69" s="123" t="s">
        <v>20</v>
      </c>
      <c r="C69" s="153" t="s">
        <v>51</v>
      </c>
      <c r="D69" s="49">
        <v>25</v>
      </c>
      <c r="E69" s="47">
        <v>125</v>
      </c>
      <c r="F69" s="7">
        <v>43831</v>
      </c>
      <c r="G69" s="8">
        <v>44926</v>
      </c>
      <c r="H69" s="9">
        <f>D69*E69*24</f>
        <v>75000</v>
      </c>
      <c r="I69" s="48"/>
      <c r="J69" s="21"/>
      <c r="K69" s="11"/>
      <c r="L69" s="21"/>
      <c r="M69" s="21"/>
      <c r="N69" s="18">
        <f t="shared" ref="N69:N99" si="33">SUM(H69:M69)</f>
        <v>75000</v>
      </c>
      <c r="O69" s="138" t="s">
        <v>97</v>
      </c>
      <c r="P69" s="134" t="s">
        <v>3</v>
      </c>
    </row>
    <row r="70" spans="1:16" ht="24.75" customHeight="1" x14ac:dyDescent="0.3">
      <c r="A70" s="1" t="s">
        <v>5</v>
      </c>
      <c r="B70" s="123" t="s">
        <v>20</v>
      </c>
      <c r="C70" s="153" t="s">
        <v>51</v>
      </c>
      <c r="D70" s="49">
        <v>32</v>
      </c>
      <c r="E70" s="47">
        <v>125</v>
      </c>
      <c r="F70" s="7">
        <v>44562</v>
      </c>
      <c r="G70" s="8">
        <v>44926</v>
      </c>
      <c r="H70" s="9">
        <f>D70*E70*12</f>
        <v>48000</v>
      </c>
      <c r="I70" s="48"/>
      <c r="J70" s="21"/>
      <c r="K70" s="11"/>
      <c r="L70" s="21"/>
      <c r="M70" s="21"/>
      <c r="N70" s="18">
        <f t="shared" ref="N70" si="34">SUM(H70:M70)</f>
        <v>48000</v>
      </c>
      <c r="O70" s="138" t="s">
        <v>114</v>
      </c>
      <c r="P70" s="134" t="s">
        <v>3</v>
      </c>
    </row>
    <row r="71" spans="1:16" ht="27" customHeight="1" x14ac:dyDescent="0.3">
      <c r="A71" s="1" t="s">
        <v>5</v>
      </c>
      <c r="B71" s="123" t="s">
        <v>20</v>
      </c>
      <c r="C71" s="153" t="s">
        <v>51</v>
      </c>
      <c r="D71" s="49">
        <v>25</v>
      </c>
      <c r="E71" s="47">
        <v>125</v>
      </c>
      <c r="F71" s="7">
        <v>43952</v>
      </c>
      <c r="G71" s="8">
        <v>44408</v>
      </c>
      <c r="H71" s="9">
        <f>D71*E71*15</f>
        <v>46875</v>
      </c>
      <c r="I71" s="10"/>
      <c r="J71" s="6"/>
      <c r="K71" s="11"/>
      <c r="L71" s="21"/>
      <c r="M71" s="21"/>
      <c r="N71" s="18">
        <f t="shared" ref="N71:N72" si="35">SUM(H71:M71)</f>
        <v>46875</v>
      </c>
      <c r="O71" s="138" t="s">
        <v>79</v>
      </c>
      <c r="P71" s="134" t="s">
        <v>3</v>
      </c>
    </row>
    <row r="72" spans="1:16" ht="22.5" x14ac:dyDescent="0.3">
      <c r="A72" s="1" t="s">
        <v>5</v>
      </c>
      <c r="B72" s="122" t="s">
        <v>20</v>
      </c>
      <c r="C72" s="153" t="s">
        <v>51</v>
      </c>
      <c r="D72" s="46">
        <v>32</v>
      </c>
      <c r="E72" s="47">
        <v>125</v>
      </c>
      <c r="F72" s="7">
        <v>44409</v>
      </c>
      <c r="G72" s="8">
        <v>45046</v>
      </c>
      <c r="H72" s="9">
        <f>D72*E72*21</f>
        <v>84000</v>
      </c>
      <c r="I72" s="10"/>
      <c r="J72" s="6"/>
      <c r="K72" s="11"/>
      <c r="L72" s="21"/>
      <c r="M72" s="21"/>
      <c r="N72" s="18">
        <f t="shared" si="35"/>
        <v>84000</v>
      </c>
      <c r="O72" s="142" t="s">
        <v>100</v>
      </c>
      <c r="P72" s="134" t="s">
        <v>3</v>
      </c>
    </row>
    <row r="73" spans="1:16" ht="23.25" customHeight="1" x14ac:dyDescent="0.3">
      <c r="A73" s="1" t="s">
        <v>5</v>
      </c>
      <c r="B73" s="124" t="s">
        <v>20</v>
      </c>
      <c r="C73" s="153" t="s">
        <v>51</v>
      </c>
      <c r="D73" s="50">
        <v>25</v>
      </c>
      <c r="E73" s="47">
        <v>125</v>
      </c>
      <c r="F73" s="7">
        <v>43952</v>
      </c>
      <c r="G73" s="8">
        <v>44408</v>
      </c>
      <c r="H73" s="9">
        <f>D73*E73*15</f>
        <v>46875</v>
      </c>
      <c r="I73" s="10"/>
      <c r="J73" s="6"/>
      <c r="K73" s="11"/>
      <c r="L73" s="21"/>
      <c r="M73" s="21"/>
      <c r="N73" s="18">
        <f t="shared" ref="N73" si="36">SUM(H73:M73)</f>
        <v>46875</v>
      </c>
      <c r="O73" s="138" t="s">
        <v>21</v>
      </c>
      <c r="P73" s="134" t="s">
        <v>3</v>
      </c>
    </row>
    <row r="74" spans="1:16" ht="22.5" x14ac:dyDescent="0.3">
      <c r="A74" s="1" t="s">
        <v>5</v>
      </c>
      <c r="B74" s="122" t="s">
        <v>20</v>
      </c>
      <c r="C74" s="153" t="s">
        <v>51</v>
      </c>
      <c r="D74" s="46">
        <v>32</v>
      </c>
      <c r="E74" s="47">
        <v>125</v>
      </c>
      <c r="F74" s="7">
        <v>44409</v>
      </c>
      <c r="G74" s="8">
        <v>45046</v>
      </c>
      <c r="H74" s="9">
        <f>D74*E74*21</f>
        <v>84000</v>
      </c>
      <c r="I74" s="10"/>
      <c r="J74" s="6"/>
      <c r="K74" s="11"/>
      <c r="L74" s="21"/>
      <c r="M74" s="21"/>
      <c r="N74" s="18">
        <f t="shared" ref="N74" si="37">SUM(H74:M74)</f>
        <v>84000</v>
      </c>
      <c r="O74" s="142" t="s">
        <v>100</v>
      </c>
      <c r="P74" s="134" t="s">
        <v>3</v>
      </c>
    </row>
    <row r="75" spans="1:16" ht="27" customHeight="1" x14ac:dyDescent="0.3">
      <c r="A75" s="1" t="s">
        <v>5</v>
      </c>
      <c r="B75" s="125" t="s">
        <v>20</v>
      </c>
      <c r="C75" s="153" t="s">
        <v>51</v>
      </c>
      <c r="D75" s="51">
        <v>25</v>
      </c>
      <c r="E75" s="47">
        <v>125</v>
      </c>
      <c r="F75" s="7">
        <v>43952</v>
      </c>
      <c r="G75" s="8">
        <v>44408</v>
      </c>
      <c r="H75" s="9">
        <f>D75*E75*15</f>
        <v>46875</v>
      </c>
      <c r="I75" s="10"/>
      <c r="J75" s="6"/>
      <c r="K75" s="11"/>
      <c r="L75" s="21"/>
      <c r="M75" s="21"/>
      <c r="N75" s="18">
        <f t="shared" ref="N75" si="38">SUM(H75:M75)</f>
        <v>46875</v>
      </c>
      <c r="O75" s="138" t="s">
        <v>79</v>
      </c>
      <c r="P75" s="134" t="s">
        <v>3</v>
      </c>
    </row>
    <row r="76" spans="1:16" ht="22.5" x14ac:dyDescent="0.3">
      <c r="A76" s="1" t="s">
        <v>5</v>
      </c>
      <c r="B76" s="122" t="s">
        <v>20</v>
      </c>
      <c r="C76" s="153" t="s">
        <v>51</v>
      </c>
      <c r="D76" s="46">
        <v>25</v>
      </c>
      <c r="E76" s="47">
        <v>125</v>
      </c>
      <c r="F76" s="7">
        <v>44409</v>
      </c>
      <c r="G76" s="8">
        <v>45046</v>
      </c>
      <c r="H76" s="9">
        <f>D76*E76*21</f>
        <v>65625</v>
      </c>
      <c r="I76" s="10"/>
      <c r="J76" s="6"/>
      <c r="K76" s="11"/>
      <c r="L76" s="21"/>
      <c r="M76" s="21"/>
      <c r="N76" s="18">
        <f t="shared" ref="N76" si="39">SUM(H76:M76)</f>
        <v>65625</v>
      </c>
      <c r="O76" s="142" t="s">
        <v>100</v>
      </c>
      <c r="P76" s="134" t="s">
        <v>3</v>
      </c>
    </row>
    <row r="77" spans="1:16" ht="26.25" customHeight="1" x14ac:dyDescent="0.3">
      <c r="A77" s="1" t="s">
        <v>5</v>
      </c>
      <c r="B77" s="125" t="s">
        <v>20</v>
      </c>
      <c r="C77" s="153" t="s">
        <v>51</v>
      </c>
      <c r="D77" s="51">
        <v>32</v>
      </c>
      <c r="E77" s="47">
        <v>125</v>
      </c>
      <c r="F77" s="7">
        <v>43952</v>
      </c>
      <c r="G77" s="8">
        <v>44408</v>
      </c>
      <c r="H77" s="9">
        <f>D77*E77*15</f>
        <v>60000</v>
      </c>
      <c r="I77" s="10"/>
      <c r="J77" s="6"/>
      <c r="K77" s="11"/>
      <c r="L77" s="21"/>
      <c r="M77" s="21"/>
      <c r="N77" s="18">
        <f t="shared" ref="N77:N79" si="40">SUM(H77:M77)</f>
        <v>60000</v>
      </c>
      <c r="O77" s="138" t="s">
        <v>22</v>
      </c>
      <c r="P77" s="134" t="s">
        <v>3</v>
      </c>
    </row>
    <row r="78" spans="1:16" ht="22.5" x14ac:dyDescent="0.3">
      <c r="A78" s="1" t="s">
        <v>5</v>
      </c>
      <c r="B78" s="122" t="s">
        <v>20</v>
      </c>
      <c r="C78" s="153" t="s">
        <v>51</v>
      </c>
      <c r="D78" s="46">
        <v>32</v>
      </c>
      <c r="E78" s="47">
        <v>125</v>
      </c>
      <c r="F78" s="7">
        <v>44409</v>
      </c>
      <c r="G78" s="8">
        <v>45046</v>
      </c>
      <c r="H78" s="9">
        <f>D78*E78*21</f>
        <v>84000</v>
      </c>
      <c r="I78" s="10"/>
      <c r="J78" s="6"/>
      <c r="K78" s="11"/>
      <c r="L78" s="21"/>
      <c r="M78" s="21"/>
      <c r="N78" s="18">
        <f t="shared" si="40"/>
        <v>84000</v>
      </c>
      <c r="O78" s="142" t="s">
        <v>100</v>
      </c>
      <c r="P78" s="134" t="s">
        <v>3</v>
      </c>
    </row>
    <row r="79" spans="1:16" ht="23.25" customHeight="1" x14ac:dyDescent="0.3">
      <c r="A79" s="1" t="s">
        <v>5</v>
      </c>
      <c r="B79" s="125" t="s">
        <v>20</v>
      </c>
      <c r="C79" s="153" t="s">
        <v>51</v>
      </c>
      <c r="D79" s="51">
        <v>25</v>
      </c>
      <c r="E79" s="47">
        <v>125</v>
      </c>
      <c r="F79" s="7">
        <v>43952</v>
      </c>
      <c r="G79" s="8">
        <v>44561</v>
      </c>
      <c r="H79" s="9">
        <f>D79*E79*20</f>
        <v>62500</v>
      </c>
      <c r="I79" s="10"/>
      <c r="J79" s="6"/>
      <c r="K79" s="11"/>
      <c r="L79" s="21"/>
      <c r="M79" s="21"/>
      <c r="N79" s="18">
        <f t="shared" si="40"/>
        <v>62500</v>
      </c>
      <c r="O79" s="138" t="s">
        <v>22</v>
      </c>
      <c r="P79" s="134" t="s">
        <v>3</v>
      </c>
    </row>
    <row r="80" spans="1:16" ht="23.25" customHeight="1" x14ac:dyDescent="0.3">
      <c r="A80" s="1" t="s">
        <v>5</v>
      </c>
      <c r="B80" s="126" t="s">
        <v>20</v>
      </c>
      <c r="C80" s="153" t="s">
        <v>51</v>
      </c>
      <c r="D80" s="49">
        <v>25</v>
      </c>
      <c r="E80" s="47">
        <v>125</v>
      </c>
      <c r="F80" s="7">
        <v>43466</v>
      </c>
      <c r="G80" s="8">
        <v>43951</v>
      </c>
      <c r="H80" s="9">
        <f>D80*E80*16</f>
        <v>50000</v>
      </c>
      <c r="I80" s="48"/>
      <c r="J80" s="21"/>
      <c r="K80" s="11"/>
      <c r="L80" s="21"/>
      <c r="M80" s="21"/>
      <c r="N80" s="18">
        <f t="shared" si="33"/>
        <v>50000</v>
      </c>
      <c r="O80" s="138" t="s">
        <v>21</v>
      </c>
      <c r="P80" s="134" t="s">
        <v>3</v>
      </c>
    </row>
    <row r="81" spans="1:16" ht="27" customHeight="1" x14ac:dyDescent="0.3">
      <c r="A81" s="1" t="s">
        <v>5</v>
      </c>
      <c r="B81" s="125" t="s">
        <v>20</v>
      </c>
      <c r="C81" s="153" t="s">
        <v>51</v>
      </c>
      <c r="D81" s="51">
        <v>25</v>
      </c>
      <c r="E81" s="47">
        <v>125</v>
      </c>
      <c r="F81" s="7">
        <v>43952</v>
      </c>
      <c r="G81" s="8">
        <v>44408</v>
      </c>
      <c r="H81" s="9">
        <f>D81*E81*15</f>
        <v>46875</v>
      </c>
      <c r="I81" s="48"/>
      <c r="J81" s="21"/>
      <c r="K81" s="11"/>
      <c r="L81" s="21"/>
      <c r="M81" s="21"/>
      <c r="N81" s="18">
        <f t="shared" ref="N81" si="41">SUM(H81:M81)</f>
        <v>46875</v>
      </c>
      <c r="O81" s="138" t="s">
        <v>22</v>
      </c>
      <c r="P81" s="134" t="s">
        <v>3</v>
      </c>
    </row>
    <row r="82" spans="1:16" ht="22.5" x14ac:dyDescent="0.3">
      <c r="A82" s="1" t="s">
        <v>5</v>
      </c>
      <c r="B82" s="122" t="s">
        <v>20</v>
      </c>
      <c r="C82" s="153" t="s">
        <v>51</v>
      </c>
      <c r="D82" s="46">
        <v>32</v>
      </c>
      <c r="E82" s="47">
        <v>125</v>
      </c>
      <c r="F82" s="7">
        <v>44409</v>
      </c>
      <c r="G82" s="8">
        <v>45046</v>
      </c>
      <c r="H82" s="9">
        <f>D82*E82*21</f>
        <v>84000</v>
      </c>
      <c r="I82" s="10"/>
      <c r="J82" s="6"/>
      <c r="K82" s="11"/>
      <c r="L82" s="21"/>
      <c r="M82" s="21"/>
      <c r="N82" s="18">
        <f t="shared" ref="N82" si="42">SUM(H82:M82)</f>
        <v>84000</v>
      </c>
      <c r="O82" s="142" t="s">
        <v>100</v>
      </c>
      <c r="P82" s="134" t="s">
        <v>3</v>
      </c>
    </row>
    <row r="83" spans="1:16" ht="27" customHeight="1" x14ac:dyDescent="0.3">
      <c r="A83" s="1" t="s">
        <v>5</v>
      </c>
      <c r="B83" s="127" t="s">
        <v>20</v>
      </c>
      <c r="C83" s="153" t="s">
        <v>51</v>
      </c>
      <c r="D83" s="131">
        <v>25</v>
      </c>
      <c r="E83" s="47">
        <v>125</v>
      </c>
      <c r="F83" s="7">
        <v>43952</v>
      </c>
      <c r="G83" s="8">
        <v>44408</v>
      </c>
      <c r="H83" s="9">
        <f>D83*E83*15</f>
        <v>46875</v>
      </c>
      <c r="I83" s="10"/>
      <c r="J83" s="6"/>
      <c r="K83" s="11"/>
      <c r="L83" s="21"/>
      <c r="M83" s="21"/>
      <c r="N83" s="18">
        <f t="shared" ref="N83:N84" si="43">SUM(H83:M83)</f>
        <v>46875</v>
      </c>
      <c r="O83" s="138" t="s">
        <v>79</v>
      </c>
      <c r="P83" s="134" t="s">
        <v>3</v>
      </c>
    </row>
    <row r="84" spans="1:16" ht="22.5" x14ac:dyDescent="0.3">
      <c r="A84" s="1" t="s">
        <v>5</v>
      </c>
      <c r="B84" s="60" t="s">
        <v>20</v>
      </c>
      <c r="C84" s="153" t="s">
        <v>51</v>
      </c>
      <c r="D84" s="46">
        <v>32</v>
      </c>
      <c r="E84" s="47">
        <v>125</v>
      </c>
      <c r="F84" s="7">
        <v>44409</v>
      </c>
      <c r="G84" s="8">
        <v>45046</v>
      </c>
      <c r="H84" s="9">
        <f>D84*E84*21</f>
        <v>84000</v>
      </c>
      <c r="I84" s="10"/>
      <c r="J84" s="6"/>
      <c r="K84" s="11"/>
      <c r="L84" s="21"/>
      <c r="M84" s="21"/>
      <c r="N84" s="18">
        <f t="shared" si="43"/>
        <v>84000</v>
      </c>
      <c r="O84" s="142" t="s">
        <v>100</v>
      </c>
      <c r="P84" s="134" t="s">
        <v>3</v>
      </c>
    </row>
    <row r="85" spans="1:16" ht="21.75" customHeight="1" x14ac:dyDescent="0.3">
      <c r="A85" s="1" t="s">
        <v>5</v>
      </c>
      <c r="B85" s="130" t="s">
        <v>20</v>
      </c>
      <c r="C85" s="153" t="s">
        <v>51</v>
      </c>
      <c r="D85" s="131">
        <v>25</v>
      </c>
      <c r="E85" s="47">
        <v>125</v>
      </c>
      <c r="F85" s="7">
        <v>43952</v>
      </c>
      <c r="G85" s="8">
        <v>44408</v>
      </c>
      <c r="H85" s="9">
        <f>D85*E85*15</f>
        <v>46875</v>
      </c>
      <c r="I85" s="48"/>
      <c r="J85" s="52"/>
      <c r="K85" s="11"/>
      <c r="L85" s="21"/>
      <c r="M85" s="21"/>
      <c r="N85" s="18">
        <f t="shared" si="33"/>
        <v>46875</v>
      </c>
      <c r="O85" s="138" t="s">
        <v>21</v>
      </c>
      <c r="P85" s="134" t="s">
        <v>3</v>
      </c>
    </row>
    <row r="86" spans="1:16" ht="22.5" x14ac:dyDescent="0.3">
      <c r="A86" s="1" t="s">
        <v>5</v>
      </c>
      <c r="B86" s="122" t="s">
        <v>20</v>
      </c>
      <c r="C86" s="153" t="s">
        <v>51</v>
      </c>
      <c r="D86" s="46">
        <v>32</v>
      </c>
      <c r="E86" s="47">
        <v>125</v>
      </c>
      <c r="F86" s="7">
        <v>44409</v>
      </c>
      <c r="G86" s="8">
        <v>45046</v>
      </c>
      <c r="H86" s="9">
        <f>D86*E86*21</f>
        <v>84000</v>
      </c>
      <c r="I86" s="10"/>
      <c r="J86" s="6"/>
      <c r="K86" s="11"/>
      <c r="L86" s="21"/>
      <c r="M86" s="21"/>
      <c r="N86" s="18">
        <f t="shared" ref="N86" si="44">SUM(H86:M86)</f>
        <v>84000</v>
      </c>
      <c r="O86" s="142" t="s">
        <v>100</v>
      </c>
      <c r="P86" s="134" t="s">
        <v>3</v>
      </c>
    </row>
    <row r="87" spans="1:16" ht="21.75" customHeight="1" x14ac:dyDescent="0.3">
      <c r="A87" s="1" t="s">
        <v>5</v>
      </c>
      <c r="B87" s="52" t="s">
        <v>20</v>
      </c>
      <c r="C87" s="153" t="s">
        <v>51</v>
      </c>
      <c r="D87" s="53">
        <v>25</v>
      </c>
      <c r="E87" s="55">
        <v>125</v>
      </c>
      <c r="F87" s="7">
        <v>43952</v>
      </c>
      <c r="G87" s="8">
        <v>44408</v>
      </c>
      <c r="H87" s="9">
        <f>D87*E87*15</f>
        <v>46875</v>
      </c>
      <c r="I87" s="10"/>
      <c r="J87" s="6"/>
      <c r="K87" s="11"/>
      <c r="L87" s="21"/>
      <c r="M87" s="21"/>
      <c r="N87" s="18">
        <f t="shared" ref="N87" si="45">SUM(H87:M87)</f>
        <v>46875</v>
      </c>
      <c r="O87" s="138" t="s">
        <v>79</v>
      </c>
      <c r="P87" s="134" t="s">
        <v>3</v>
      </c>
    </row>
    <row r="88" spans="1:16" ht="23.25" customHeight="1" x14ac:dyDescent="0.3">
      <c r="A88" s="1" t="s">
        <v>5</v>
      </c>
      <c r="B88" s="54" t="s">
        <v>20</v>
      </c>
      <c r="C88" s="154" t="s">
        <v>51</v>
      </c>
      <c r="D88" s="59">
        <v>32</v>
      </c>
      <c r="E88" s="6">
        <v>125</v>
      </c>
      <c r="F88" s="7">
        <v>44409</v>
      </c>
      <c r="G88" s="8">
        <v>45046</v>
      </c>
      <c r="H88" s="9">
        <f>D88*E88*21</f>
        <v>84000</v>
      </c>
      <c r="I88" s="10"/>
      <c r="J88" s="6"/>
      <c r="K88" s="11"/>
      <c r="L88" s="21"/>
      <c r="M88" s="21"/>
      <c r="N88" s="18">
        <f t="shared" ref="N88" si="46">SUM(H88:M88)</f>
        <v>84000</v>
      </c>
      <c r="O88" s="138" t="s">
        <v>79</v>
      </c>
      <c r="P88" s="134" t="s">
        <v>3</v>
      </c>
    </row>
    <row r="89" spans="1:16" ht="22.5" x14ac:dyDescent="0.3">
      <c r="A89" s="1" t="s">
        <v>5</v>
      </c>
      <c r="B89" s="60" t="s">
        <v>20</v>
      </c>
      <c r="C89" s="154" t="s">
        <v>51</v>
      </c>
      <c r="D89" s="27">
        <v>25</v>
      </c>
      <c r="E89" s="6">
        <v>125</v>
      </c>
      <c r="F89" s="7">
        <v>43952</v>
      </c>
      <c r="G89" s="8">
        <v>44408</v>
      </c>
      <c r="H89" s="9">
        <f>D89*E89*15</f>
        <v>46875</v>
      </c>
      <c r="I89" s="10"/>
      <c r="J89" s="6"/>
      <c r="K89" s="11"/>
      <c r="L89" s="21"/>
      <c r="M89" s="21"/>
      <c r="N89" s="18">
        <f t="shared" ref="N89" si="47">SUM(H89:M89)</f>
        <v>46875</v>
      </c>
      <c r="O89" s="142" t="s">
        <v>100</v>
      </c>
      <c r="P89" s="134" t="s">
        <v>3</v>
      </c>
    </row>
    <row r="90" spans="1:16" ht="22.5" x14ac:dyDescent="0.3">
      <c r="A90" s="1" t="s">
        <v>5</v>
      </c>
      <c r="B90" s="60" t="s">
        <v>20</v>
      </c>
      <c r="C90" s="154" t="s">
        <v>51</v>
      </c>
      <c r="D90" s="27">
        <v>32</v>
      </c>
      <c r="E90" s="6">
        <v>125</v>
      </c>
      <c r="F90" s="7">
        <v>44409</v>
      </c>
      <c r="G90" s="8">
        <v>45046</v>
      </c>
      <c r="H90" s="9">
        <f>D90*E90*21</f>
        <v>84000</v>
      </c>
      <c r="I90" s="10"/>
      <c r="J90" s="6"/>
      <c r="K90" s="11"/>
      <c r="L90" s="21"/>
      <c r="M90" s="21"/>
      <c r="N90" s="18">
        <f t="shared" ref="N90" si="48">SUM(H90:M90)</f>
        <v>84000</v>
      </c>
      <c r="O90" s="142" t="s">
        <v>100</v>
      </c>
      <c r="P90" s="134" t="s">
        <v>3</v>
      </c>
    </row>
    <row r="91" spans="1:16" ht="23.25" customHeight="1" x14ac:dyDescent="0.3">
      <c r="A91" s="1" t="s">
        <v>5</v>
      </c>
      <c r="B91" s="52" t="s">
        <v>20</v>
      </c>
      <c r="C91" s="153" t="s">
        <v>51</v>
      </c>
      <c r="D91" s="132">
        <v>25</v>
      </c>
      <c r="E91" s="6">
        <v>125</v>
      </c>
      <c r="F91" s="7">
        <v>43952</v>
      </c>
      <c r="G91" s="8">
        <v>44408</v>
      </c>
      <c r="H91" s="9">
        <f>D91*E91*15</f>
        <v>46875</v>
      </c>
      <c r="I91" s="10"/>
      <c r="J91" s="6"/>
      <c r="K91" s="11"/>
      <c r="L91" s="21"/>
      <c r="M91" s="21"/>
      <c r="N91" s="18">
        <f t="shared" ref="N91" si="49">SUM(H91:M91)</f>
        <v>46875</v>
      </c>
      <c r="O91" s="138" t="s">
        <v>77</v>
      </c>
      <c r="P91" s="134" t="s">
        <v>3</v>
      </c>
    </row>
    <row r="92" spans="1:16" ht="23.25" customHeight="1" x14ac:dyDescent="0.3">
      <c r="A92" s="1" t="s">
        <v>5</v>
      </c>
      <c r="B92" s="52" t="s">
        <v>20</v>
      </c>
      <c r="C92" s="153" t="s">
        <v>51</v>
      </c>
      <c r="D92" s="132">
        <v>32</v>
      </c>
      <c r="E92" s="6">
        <v>125</v>
      </c>
      <c r="F92" s="7">
        <v>44409</v>
      </c>
      <c r="G92" s="8">
        <v>44732</v>
      </c>
      <c r="H92" s="9">
        <f>D92*E92*11</f>
        <v>44000</v>
      </c>
      <c r="I92" s="10"/>
      <c r="J92" s="6"/>
      <c r="K92" s="11"/>
      <c r="L92" s="21"/>
      <c r="M92" s="21"/>
      <c r="N92" s="18">
        <f t="shared" ref="N92" si="50">SUM(H92:M92)</f>
        <v>44000</v>
      </c>
      <c r="O92" s="138" t="s">
        <v>106</v>
      </c>
      <c r="P92" s="134" t="s">
        <v>3</v>
      </c>
    </row>
    <row r="93" spans="1:16" ht="24.75" customHeight="1" x14ac:dyDescent="0.3">
      <c r="A93" s="1" t="s">
        <v>5</v>
      </c>
      <c r="B93" s="21" t="s">
        <v>20</v>
      </c>
      <c r="C93" s="153" t="s">
        <v>51</v>
      </c>
      <c r="D93" s="133">
        <v>25</v>
      </c>
      <c r="E93" s="6">
        <v>125</v>
      </c>
      <c r="F93" s="7">
        <v>43952</v>
      </c>
      <c r="G93" s="8">
        <v>44408</v>
      </c>
      <c r="H93" s="9">
        <f>D93*E93*15</f>
        <v>46875</v>
      </c>
      <c r="I93" s="10"/>
      <c r="J93" s="6"/>
      <c r="K93" s="11"/>
      <c r="L93" s="21"/>
      <c r="M93" s="21"/>
      <c r="N93" s="18">
        <f t="shared" ref="N93" si="51">SUM(H93:M93)</f>
        <v>46875</v>
      </c>
      <c r="O93" s="138" t="s">
        <v>106</v>
      </c>
      <c r="P93" s="134" t="s">
        <v>3</v>
      </c>
    </row>
    <row r="94" spans="1:16" ht="24.75" customHeight="1" x14ac:dyDescent="0.3">
      <c r="A94" s="1" t="s">
        <v>5</v>
      </c>
      <c r="B94" s="21" t="s">
        <v>20</v>
      </c>
      <c r="C94" s="153" t="s">
        <v>51</v>
      </c>
      <c r="D94" s="133">
        <v>32</v>
      </c>
      <c r="E94" s="6">
        <v>125</v>
      </c>
      <c r="F94" s="7">
        <v>44409</v>
      </c>
      <c r="G94" s="8">
        <v>44926</v>
      </c>
      <c r="H94" s="9">
        <f>D94*E94*17</f>
        <v>68000</v>
      </c>
      <c r="I94" s="10"/>
      <c r="J94" s="6"/>
      <c r="K94" s="11"/>
      <c r="L94" s="21"/>
      <c r="M94" s="21"/>
      <c r="N94" s="18">
        <f t="shared" ref="N94" si="52">SUM(H94:M94)</f>
        <v>68000</v>
      </c>
      <c r="O94" s="138" t="s">
        <v>106</v>
      </c>
      <c r="P94" s="134" t="s">
        <v>3</v>
      </c>
    </row>
    <row r="95" spans="1:16" ht="27" customHeight="1" x14ac:dyDescent="0.3">
      <c r="A95" s="1" t="s">
        <v>5</v>
      </c>
      <c r="B95" s="58" t="s">
        <v>20</v>
      </c>
      <c r="C95" s="153" t="s">
        <v>51</v>
      </c>
      <c r="D95" s="59">
        <v>25</v>
      </c>
      <c r="E95" s="6">
        <v>125</v>
      </c>
      <c r="F95" s="7">
        <v>43952</v>
      </c>
      <c r="G95" s="8">
        <v>44408</v>
      </c>
      <c r="H95" s="9">
        <f>D95*E95*15</f>
        <v>46875</v>
      </c>
      <c r="I95" s="10"/>
      <c r="J95" s="6"/>
      <c r="K95" s="11"/>
      <c r="L95" s="21"/>
      <c r="M95" s="21"/>
      <c r="N95" s="18">
        <f t="shared" ref="N95" si="53">SUM(H95:M95)</f>
        <v>46875</v>
      </c>
      <c r="O95" s="138" t="s">
        <v>79</v>
      </c>
      <c r="P95" s="134" t="s">
        <v>3</v>
      </c>
    </row>
    <row r="96" spans="1:16" ht="22.5" x14ac:dyDescent="0.3">
      <c r="A96" s="1" t="s">
        <v>5</v>
      </c>
      <c r="B96" s="122" t="s">
        <v>20</v>
      </c>
      <c r="C96" s="153" t="s">
        <v>51</v>
      </c>
      <c r="D96" s="46">
        <v>32</v>
      </c>
      <c r="E96" s="47">
        <v>125</v>
      </c>
      <c r="F96" s="7">
        <v>44409</v>
      </c>
      <c r="G96" s="8">
        <v>45046</v>
      </c>
      <c r="H96" s="9">
        <f>D96*E96*21</f>
        <v>84000</v>
      </c>
      <c r="I96" s="10"/>
      <c r="J96" s="6"/>
      <c r="K96" s="11"/>
      <c r="L96" s="21"/>
      <c r="M96" s="21"/>
      <c r="N96" s="18">
        <f t="shared" ref="N96" si="54">SUM(H96:M96)</f>
        <v>84000</v>
      </c>
      <c r="O96" s="142" t="s">
        <v>100</v>
      </c>
      <c r="P96" s="134" t="s">
        <v>3</v>
      </c>
    </row>
    <row r="97" spans="1:16" ht="26.25" customHeight="1" x14ac:dyDescent="0.3">
      <c r="A97" s="1" t="s">
        <v>5</v>
      </c>
      <c r="B97" s="58" t="s">
        <v>20</v>
      </c>
      <c r="C97" s="153" t="s">
        <v>51</v>
      </c>
      <c r="D97" s="59">
        <v>25</v>
      </c>
      <c r="E97" s="6">
        <v>125</v>
      </c>
      <c r="F97" s="7">
        <v>43952</v>
      </c>
      <c r="G97" s="8">
        <v>44408</v>
      </c>
      <c r="H97" s="9">
        <f>D97*E97*15</f>
        <v>46875</v>
      </c>
      <c r="I97" s="48"/>
      <c r="J97" s="21"/>
      <c r="K97" s="11"/>
      <c r="L97" s="21"/>
      <c r="M97" s="21"/>
      <c r="N97" s="18">
        <f t="shared" si="33"/>
        <v>46875</v>
      </c>
      <c r="O97" s="138" t="s">
        <v>78</v>
      </c>
      <c r="P97" s="134" t="s">
        <v>3</v>
      </c>
    </row>
    <row r="98" spans="1:16" ht="22.5" x14ac:dyDescent="0.3">
      <c r="A98" s="1" t="s">
        <v>5</v>
      </c>
      <c r="B98" s="122" t="s">
        <v>20</v>
      </c>
      <c r="C98" s="153" t="s">
        <v>51</v>
      </c>
      <c r="D98" s="46">
        <v>32</v>
      </c>
      <c r="E98" s="47">
        <v>125</v>
      </c>
      <c r="F98" s="7">
        <v>44409</v>
      </c>
      <c r="G98" s="8">
        <v>45046</v>
      </c>
      <c r="H98" s="9">
        <f>D98*E98*21</f>
        <v>84000</v>
      </c>
      <c r="I98" s="10"/>
      <c r="J98" s="6"/>
      <c r="K98" s="11"/>
      <c r="L98" s="21"/>
      <c r="M98" s="21"/>
      <c r="N98" s="18">
        <f t="shared" ref="N98" si="55">SUM(H98:M98)</f>
        <v>84000</v>
      </c>
      <c r="O98" s="142" t="s">
        <v>100</v>
      </c>
      <c r="P98" s="134" t="s">
        <v>3</v>
      </c>
    </row>
    <row r="99" spans="1:16" ht="25.5" customHeight="1" x14ac:dyDescent="0.3">
      <c r="A99" s="1" t="s">
        <v>5</v>
      </c>
      <c r="B99" s="58" t="s">
        <v>20</v>
      </c>
      <c r="C99" s="153" t="s">
        <v>51</v>
      </c>
      <c r="D99" s="59">
        <v>25</v>
      </c>
      <c r="E99" s="6">
        <v>125</v>
      </c>
      <c r="F99" s="7">
        <v>43952</v>
      </c>
      <c r="G99" s="8">
        <v>44408</v>
      </c>
      <c r="H99" s="9">
        <f>D99*E99*15</f>
        <v>46875</v>
      </c>
      <c r="I99" s="25"/>
      <c r="J99" s="21"/>
      <c r="K99" s="11"/>
      <c r="L99" s="21"/>
      <c r="M99" s="21"/>
      <c r="N99" s="18">
        <f t="shared" si="33"/>
        <v>46875</v>
      </c>
      <c r="O99" s="138" t="s">
        <v>52</v>
      </c>
      <c r="P99" s="134" t="s">
        <v>3</v>
      </c>
    </row>
    <row r="100" spans="1:16" ht="22.5" x14ac:dyDescent="0.3">
      <c r="A100" s="1" t="s">
        <v>5</v>
      </c>
      <c r="B100" s="122" t="s">
        <v>20</v>
      </c>
      <c r="C100" s="153" t="s">
        <v>51</v>
      </c>
      <c r="D100" s="46">
        <v>32</v>
      </c>
      <c r="E100" s="47">
        <v>125</v>
      </c>
      <c r="F100" s="7">
        <v>44409</v>
      </c>
      <c r="G100" s="8">
        <v>45046</v>
      </c>
      <c r="H100" s="9">
        <f>D100*E100*21</f>
        <v>84000</v>
      </c>
      <c r="I100" s="10"/>
      <c r="J100" s="6"/>
      <c r="K100" s="11"/>
      <c r="L100" s="21"/>
      <c r="M100" s="21"/>
      <c r="N100" s="18">
        <f t="shared" ref="N100" si="56">SUM(H100:M100)</f>
        <v>84000</v>
      </c>
      <c r="O100" s="142" t="s">
        <v>99</v>
      </c>
      <c r="P100" s="134" t="s">
        <v>3</v>
      </c>
    </row>
    <row r="101" spans="1:16" ht="28.5" customHeight="1" x14ac:dyDescent="0.3">
      <c r="A101" s="1" t="s">
        <v>5</v>
      </c>
      <c r="B101" s="58" t="s">
        <v>20</v>
      </c>
      <c r="C101" s="153" t="s">
        <v>51</v>
      </c>
      <c r="D101" s="59">
        <v>25</v>
      </c>
      <c r="E101" s="6">
        <v>125</v>
      </c>
      <c r="F101" s="7">
        <v>43831</v>
      </c>
      <c r="G101" s="8">
        <v>44219</v>
      </c>
      <c r="H101" s="9">
        <f>D101*E101*13</f>
        <v>40625</v>
      </c>
      <c r="I101" s="10"/>
      <c r="J101" s="6"/>
      <c r="K101" s="11"/>
      <c r="L101" s="21"/>
      <c r="M101" s="21"/>
      <c r="N101" s="18">
        <f t="shared" ref="N101" si="57">SUM(H101:M101)</f>
        <v>40625</v>
      </c>
      <c r="O101" s="138" t="s">
        <v>22</v>
      </c>
      <c r="P101" s="134" t="s">
        <v>3</v>
      </c>
    </row>
    <row r="102" spans="1:16" ht="28.5" customHeight="1" x14ac:dyDescent="0.3">
      <c r="A102" s="1" t="s">
        <v>5</v>
      </c>
      <c r="B102" s="58" t="s">
        <v>20</v>
      </c>
      <c r="C102" s="153" t="s">
        <v>51</v>
      </c>
      <c r="D102" s="59">
        <v>32</v>
      </c>
      <c r="E102" s="6">
        <v>125</v>
      </c>
      <c r="F102" s="7">
        <v>43952</v>
      </c>
      <c r="G102" s="8">
        <v>44408</v>
      </c>
      <c r="H102" s="9">
        <f>D102*E102*15</f>
        <v>60000</v>
      </c>
      <c r="I102" s="10"/>
      <c r="J102" s="6"/>
      <c r="K102" s="11"/>
      <c r="L102" s="21"/>
      <c r="M102" s="21"/>
      <c r="N102" s="18">
        <f t="shared" ref="N102:N103" si="58">SUM(H102:M102)</f>
        <v>60000</v>
      </c>
      <c r="O102" s="138" t="s">
        <v>22</v>
      </c>
      <c r="P102" s="134" t="s">
        <v>3</v>
      </c>
    </row>
    <row r="103" spans="1:16" ht="22.5" x14ac:dyDescent="0.3">
      <c r="A103" s="1" t="s">
        <v>5</v>
      </c>
      <c r="B103" s="122" t="s">
        <v>20</v>
      </c>
      <c r="C103" s="153" t="s">
        <v>51</v>
      </c>
      <c r="D103" s="46">
        <v>32</v>
      </c>
      <c r="E103" s="47">
        <v>125</v>
      </c>
      <c r="F103" s="7">
        <v>44409</v>
      </c>
      <c r="G103" s="8">
        <v>45046</v>
      </c>
      <c r="H103" s="9">
        <f>D103*E103*21</f>
        <v>84000</v>
      </c>
      <c r="I103" s="10"/>
      <c r="J103" s="6"/>
      <c r="K103" s="11"/>
      <c r="L103" s="21"/>
      <c r="M103" s="21"/>
      <c r="N103" s="18">
        <f t="shared" si="58"/>
        <v>84000</v>
      </c>
      <c r="O103" s="142" t="s">
        <v>100</v>
      </c>
      <c r="P103" s="134" t="s">
        <v>3</v>
      </c>
    </row>
    <row r="104" spans="1:16" ht="27" customHeight="1" x14ac:dyDescent="0.3">
      <c r="A104" s="1" t="s">
        <v>5</v>
      </c>
      <c r="B104" s="58" t="s">
        <v>20</v>
      </c>
      <c r="C104" s="153" t="s">
        <v>51</v>
      </c>
      <c r="D104" s="59">
        <v>25</v>
      </c>
      <c r="E104" s="6">
        <v>125</v>
      </c>
      <c r="F104" s="7">
        <v>43952</v>
      </c>
      <c r="G104" s="8">
        <v>44408</v>
      </c>
      <c r="H104" s="9">
        <f>D104*E104*15</f>
        <v>46875</v>
      </c>
      <c r="I104" s="48"/>
      <c r="J104" s="21"/>
      <c r="K104" s="11"/>
      <c r="L104" s="21"/>
      <c r="M104" s="21"/>
      <c r="N104" s="18">
        <f t="shared" ref="N104:N138" si="59">SUM(H104:M104)</f>
        <v>46875</v>
      </c>
      <c r="O104" s="138" t="s">
        <v>22</v>
      </c>
      <c r="P104" s="134" t="s">
        <v>3</v>
      </c>
    </row>
    <row r="105" spans="1:16" ht="22.5" x14ac:dyDescent="0.3">
      <c r="A105" s="1" t="s">
        <v>5</v>
      </c>
      <c r="B105" s="58" t="s">
        <v>20</v>
      </c>
      <c r="C105" s="153" t="s">
        <v>51</v>
      </c>
      <c r="D105" s="59">
        <v>32</v>
      </c>
      <c r="E105" s="6">
        <v>125</v>
      </c>
      <c r="F105" s="7">
        <v>44409</v>
      </c>
      <c r="G105" s="8">
        <v>45046</v>
      </c>
      <c r="H105" s="9">
        <f>D105*E105*21</f>
        <v>84000</v>
      </c>
      <c r="I105" s="48"/>
      <c r="J105" s="21"/>
      <c r="K105" s="11"/>
      <c r="L105" s="21"/>
      <c r="M105" s="21"/>
      <c r="N105" s="18">
        <f t="shared" si="59"/>
        <v>84000</v>
      </c>
      <c r="O105" s="138" t="s">
        <v>100</v>
      </c>
      <c r="P105" s="134" t="s">
        <v>3</v>
      </c>
    </row>
    <row r="106" spans="1:16" ht="22.5" x14ac:dyDescent="0.3">
      <c r="A106" s="1" t="s">
        <v>5</v>
      </c>
      <c r="B106" s="58" t="s">
        <v>20</v>
      </c>
      <c r="C106" s="153" t="s">
        <v>51</v>
      </c>
      <c r="D106" s="59">
        <v>32</v>
      </c>
      <c r="E106" s="6">
        <v>125</v>
      </c>
      <c r="F106" s="7">
        <v>44677</v>
      </c>
      <c r="G106" s="8">
        <v>45046</v>
      </c>
      <c r="H106" s="9">
        <f>D106*E106*12</f>
        <v>48000</v>
      </c>
      <c r="I106" s="48"/>
      <c r="J106" s="21"/>
      <c r="K106" s="11"/>
      <c r="L106" s="21"/>
      <c r="M106" s="21"/>
      <c r="N106" s="18">
        <f t="shared" ref="N106:N110" si="60">SUM(H106:M106)</f>
        <v>48000</v>
      </c>
      <c r="O106" s="138" t="s">
        <v>107</v>
      </c>
      <c r="P106" s="134" t="s">
        <v>3</v>
      </c>
    </row>
    <row r="107" spans="1:16" ht="22.5" x14ac:dyDescent="0.3">
      <c r="A107" s="1" t="s">
        <v>5</v>
      </c>
      <c r="B107" s="58" t="s">
        <v>20</v>
      </c>
      <c r="C107" s="153" t="s">
        <v>51</v>
      </c>
      <c r="D107" s="59">
        <v>32</v>
      </c>
      <c r="E107" s="6">
        <v>125</v>
      </c>
      <c r="F107" s="7">
        <v>44677</v>
      </c>
      <c r="G107" s="8">
        <v>45046</v>
      </c>
      <c r="H107" s="9">
        <f>D107*E107*12</f>
        <v>48000</v>
      </c>
      <c r="I107" s="48"/>
      <c r="J107" s="21"/>
      <c r="K107" s="11"/>
      <c r="L107" s="21"/>
      <c r="M107" s="21"/>
      <c r="N107" s="18">
        <f t="shared" si="60"/>
        <v>48000</v>
      </c>
      <c r="O107" s="138" t="s">
        <v>107</v>
      </c>
      <c r="P107" s="134" t="s">
        <v>3</v>
      </c>
    </row>
    <row r="108" spans="1:16" ht="22.5" x14ac:dyDescent="0.3">
      <c r="A108" s="1" t="s">
        <v>5</v>
      </c>
      <c r="B108" s="58" t="s">
        <v>20</v>
      </c>
      <c r="C108" s="153" t="s">
        <v>51</v>
      </c>
      <c r="D108" s="59">
        <v>32</v>
      </c>
      <c r="E108" s="6">
        <v>125</v>
      </c>
      <c r="F108" s="7">
        <v>44782</v>
      </c>
      <c r="G108" s="8">
        <v>45046</v>
      </c>
      <c r="H108" s="9">
        <f>D108*E108*9</f>
        <v>36000</v>
      </c>
      <c r="I108" s="48"/>
      <c r="J108" s="21"/>
      <c r="K108" s="11"/>
      <c r="L108" s="21"/>
      <c r="M108" s="21"/>
      <c r="N108" s="18">
        <f t="shared" si="60"/>
        <v>36000</v>
      </c>
      <c r="O108" s="138" t="s">
        <v>115</v>
      </c>
      <c r="P108" s="134" t="s">
        <v>3</v>
      </c>
    </row>
    <row r="109" spans="1:16" ht="22.5" x14ac:dyDescent="0.3">
      <c r="A109" s="1" t="s">
        <v>5</v>
      </c>
      <c r="B109" s="58" t="s">
        <v>20</v>
      </c>
      <c r="C109" s="153" t="s">
        <v>51</v>
      </c>
      <c r="D109" s="59">
        <v>32</v>
      </c>
      <c r="E109" s="6">
        <v>125</v>
      </c>
      <c r="F109" s="7">
        <v>44805</v>
      </c>
      <c r="G109" s="8">
        <v>45046</v>
      </c>
      <c r="H109" s="9">
        <f>D109*E109*8</f>
        <v>32000</v>
      </c>
      <c r="I109" s="48"/>
      <c r="J109" s="21"/>
      <c r="K109" s="11"/>
      <c r="L109" s="21"/>
      <c r="M109" s="21"/>
      <c r="N109" s="18">
        <f t="shared" si="60"/>
        <v>32000</v>
      </c>
      <c r="O109" s="138" t="s">
        <v>116</v>
      </c>
      <c r="P109" s="134" t="s">
        <v>3</v>
      </c>
    </row>
    <row r="110" spans="1:16" ht="22.5" x14ac:dyDescent="0.3">
      <c r="A110" s="1" t="s">
        <v>5</v>
      </c>
      <c r="B110" s="58" t="s">
        <v>20</v>
      </c>
      <c r="C110" s="153" t="s">
        <v>51</v>
      </c>
      <c r="D110" s="59">
        <v>32</v>
      </c>
      <c r="E110" s="6">
        <v>125</v>
      </c>
      <c r="F110" s="7">
        <v>44802</v>
      </c>
      <c r="G110" s="8">
        <v>45046</v>
      </c>
      <c r="H110" s="9">
        <f>D110*E110*8</f>
        <v>32000</v>
      </c>
      <c r="I110" s="48"/>
      <c r="J110" s="21"/>
      <c r="K110" s="11"/>
      <c r="L110" s="21"/>
      <c r="M110" s="21"/>
      <c r="N110" s="18">
        <f t="shared" si="60"/>
        <v>32000</v>
      </c>
      <c r="O110" s="138" t="s">
        <v>117</v>
      </c>
      <c r="P110" s="134" t="s">
        <v>3</v>
      </c>
    </row>
    <row r="111" spans="1:16" ht="22.5" x14ac:dyDescent="0.3">
      <c r="A111" s="1" t="s">
        <v>5</v>
      </c>
      <c r="B111" s="58" t="s">
        <v>20</v>
      </c>
      <c r="C111" s="153" t="s">
        <v>51</v>
      </c>
      <c r="D111" s="59"/>
      <c r="E111" s="6"/>
      <c r="F111" s="7">
        <v>44866</v>
      </c>
      <c r="G111" s="8">
        <v>45046</v>
      </c>
      <c r="H111" s="9">
        <v>26000</v>
      </c>
      <c r="I111" s="48"/>
      <c r="J111" s="21"/>
      <c r="K111" s="11"/>
      <c r="L111" s="21"/>
      <c r="M111" s="21"/>
      <c r="N111" s="18">
        <v>26000</v>
      </c>
      <c r="O111" s="157" t="s">
        <v>121</v>
      </c>
      <c r="P111" s="134" t="s">
        <v>3</v>
      </c>
    </row>
    <row r="112" spans="1:16" ht="24" customHeight="1" x14ac:dyDescent="0.3">
      <c r="A112" s="1" t="s">
        <v>5</v>
      </c>
      <c r="B112" s="60" t="s">
        <v>40</v>
      </c>
      <c r="C112" s="153" t="s">
        <v>51</v>
      </c>
      <c r="D112" s="27">
        <v>32.5</v>
      </c>
      <c r="E112" s="110">
        <v>100</v>
      </c>
      <c r="F112" s="7">
        <v>43952</v>
      </c>
      <c r="G112" s="8">
        <v>45046</v>
      </c>
      <c r="H112" s="9">
        <f>D112*E112*36</f>
        <v>117000</v>
      </c>
      <c r="I112" s="10"/>
      <c r="J112" s="6"/>
      <c r="K112" s="11"/>
      <c r="L112" s="21"/>
      <c r="M112" s="21"/>
      <c r="N112" s="18">
        <f t="shared" si="59"/>
        <v>117000</v>
      </c>
      <c r="O112" s="137" t="s">
        <v>98</v>
      </c>
      <c r="P112" s="134" t="s">
        <v>3</v>
      </c>
    </row>
    <row r="113" spans="1:16" ht="27" customHeight="1" x14ac:dyDescent="0.3">
      <c r="A113" s="1" t="s">
        <v>5</v>
      </c>
      <c r="B113" s="7" t="s">
        <v>36</v>
      </c>
      <c r="C113" s="153" t="s">
        <v>51</v>
      </c>
      <c r="D113" s="27">
        <v>32.5</v>
      </c>
      <c r="E113" s="38">
        <v>10</v>
      </c>
      <c r="F113" s="7">
        <v>43952</v>
      </c>
      <c r="G113" s="8">
        <v>45046</v>
      </c>
      <c r="H113" s="9">
        <f>D113*E113*36</f>
        <v>11700</v>
      </c>
      <c r="I113" s="10"/>
      <c r="J113" s="6"/>
      <c r="K113" s="11"/>
      <c r="L113" s="21"/>
      <c r="M113" s="21"/>
      <c r="N113" s="18">
        <f t="shared" si="59"/>
        <v>11700</v>
      </c>
      <c r="O113" s="137" t="s">
        <v>83</v>
      </c>
      <c r="P113" s="134" t="s">
        <v>3</v>
      </c>
    </row>
    <row r="114" spans="1:16" ht="25.5" customHeight="1" x14ac:dyDescent="0.3">
      <c r="A114" s="1" t="s">
        <v>5</v>
      </c>
      <c r="B114" s="7" t="s">
        <v>2</v>
      </c>
      <c r="C114" s="153" t="s">
        <v>51</v>
      </c>
      <c r="D114" s="27">
        <v>32.5</v>
      </c>
      <c r="E114" s="38">
        <v>31</v>
      </c>
      <c r="F114" s="7">
        <v>43952</v>
      </c>
      <c r="G114" s="8">
        <v>44348</v>
      </c>
      <c r="H114" s="9">
        <f>D114*E114*13</f>
        <v>13097.5</v>
      </c>
      <c r="I114" s="10"/>
      <c r="J114" s="6"/>
      <c r="K114" s="11"/>
      <c r="L114" s="21"/>
      <c r="M114" s="21"/>
      <c r="N114" s="18">
        <f t="shared" si="59"/>
        <v>13097.5</v>
      </c>
      <c r="O114" s="137" t="s">
        <v>80</v>
      </c>
      <c r="P114" s="134" t="s">
        <v>3</v>
      </c>
    </row>
    <row r="115" spans="1:16" ht="27" customHeight="1" x14ac:dyDescent="0.3">
      <c r="A115" s="1" t="s">
        <v>5</v>
      </c>
      <c r="B115" s="60" t="s">
        <v>53</v>
      </c>
      <c r="C115" s="153" t="s">
        <v>51</v>
      </c>
      <c r="D115" s="27">
        <v>32.5</v>
      </c>
      <c r="E115" s="110">
        <v>8</v>
      </c>
      <c r="F115" s="7">
        <v>43952</v>
      </c>
      <c r="G115" s="8">
        <v>44650</v>
      </c>
      <c r="H115" s="9">
        <f>D115*E115*23</f>
        <v>5980</v>
      </c>
      <c r="I115" s="25"/>
      <c r="J115" s="61"/>
      <c r="K115" s="11"/>
      <c r="L115" s="21"/>
      <c r="M115" s="21"/>
      <c r="N115" s="18">
        <f t="shared" si="59"/>
        <v>5980</v>
      </c>
      <c r="O115" s="137" t="s">
        <v>39</v>
      </c>
      <c r="P115" s="134" t="s">
        <v>3</v>
      </c>
    </row>
    <row r="116" spans="1:16" ht="28.5" customHeight="1" x14ac:dyDescent="0.3">
      <c r="A116" s="1" t="s">
        <v>5</v>
      </c>
      <c r="B116" s="7" t="s">
        <v>38</v>
      </c>
      <c r="C116" s="153" t="s">
        <v>51</v>
      </c>
      <c r="D116" s="27">
        <v>32.5</v>
      </c>
      <c r="E116" s="110">
        <v>12</v>
      </c>
      <c r="F116" s="7">
        <v>43952</v>
      </c>
      <c r="G116" s="8">
        <v>45046</v>
      </c>
      <c r="H116" s="9">
        <f>D116*E116*36</f>
        <v>14040</v>
      </c>
      <c r="I116" s="10"/>
      <c r="J116" s="6"/>
      <c r="K116" s="11"/>
      <c r="L116" s="21"/>
      <c r="M116" s="21"/>
      <c r="N116" s="18">
        <f t="shared" si="59"/>
        <v>14040</v>
      </c>
      <c r="O116" s="137" t="s">
        <v>81</v>
      </c>
      <c r="P116" s="134" t="s">
        <v>3</v>
      </c>
    </row>
    <row r="117" spans="1:16" ht="24.75" customHeight="1" x14ac:dyDescent="0.3">
      <c r="A117" s="1" t="s">
        <v>5</v>
      </c>
      <c r="B117" s="60" t="s">
        <v>27</v>
      </c>
      <c r="C117" s="153" t="s">
        <v>51</v>
      </c>
      <c r="D117" s="27">
        <v>32.5</v>
      </c>
      <c r="E117" s="24">
        <v>150</v>
      </c>
      <c r="F117" s="7">
        <v>43952</v>
      </c>
      <c r="G117" s="8">
        <v>45046</v>
      </c>
      <c r="H117" s="9">
        <f>D117*E117*36</f>
        <v>175500</v>
      </c>
      <c r="I117" s="10"/>
      <c r="J117" s="6"/>
      <c r="K117" s="11"/>
      <c r="L117" s="21"/>
      <c r="M117" s="21"/>
      <c r="N117" s="18">
        <f t="shared" si="59"/>
        <v>175500</v>
      </c>
      <c r="O117" s="137" t="s">
        <v>82</v>
      </c>
      <c r="P117" s="134" t="s">
        <v>3</v>
      </c>
    </row>
    <row r="118" spans="1:16" ht="24.75" customHeight="1" x14ac:dyDescent="0.3">
      <c r="A118" s="1" t="s">
        <v>5</v>
      </c>
      <c r="B118" s="62" t="s">
        <v>27</v>
      </c>
      <c r="C118" s="153" t="s">
        <v>51</v>
      </c>
      <c r="D118" s="27">
        <v>32.5</v>
      </c>
      <c r="E118" s="24">
        <v>190</v>
      </c>
      <c r="F118" s="7">
        <v>43952</v>
      </c>
      <c r="G118" s="8">
        <v>45046</v>
      </c>
      <c r="H118" s="9">
        <f>D118*E118*36</f>
        <v>222300</v>
      </c>
      <c r="I118" s="10"/>
      <c r="J118" s="6"/>
      <c r="K118" s="11"/>
      <c r="L118" s="21"/>
      <c r="M118" s="21"/>
      <c r="N118" s="18">
        <f t="shared" si="59"/>
        <v>222300</v>
      </c>
      <c r="O118" s="137" t="s">
        <v>82</v>
      </c>
      <c r="P118" s="134" t="s">
        <v>3</v>
      </c>
    </row>
    <row r="119" spans="1:16" ht="26.25" customHeight="1" x14ac:dyDescent="0.3">
      <c r="A119" s="1" t="s">
        <v>5</v>
      </c>
      <c r="B119" s="26" t="s">
        <v>30</v>
      </c>
      <c r="C119" s="153" t="s">
        <v>51</v>
      </c>
      <c r="D119" s="27">
        <v>32.5</v>
      </c>
      <c r="E119" s="28">
        <v>30</v>
      </c>
      <c r="F119" s="7">
        <v>43466</v>
      </c>
      <c r="G119" s="8">
        <v>43951</v>
      </c>
      <c r="H119" s="9">
        <f>D119*E119*16</f>
        <v>15600</v>
      </c>
      <c r="I119" s="10"/>
      <c r="J119" s="21"/>
      <c r="K119" s="67"/>
      <c r="L119" s="21"/>
      <c r="M119" s="21"/>
      <c r="N119" s="18">
        <f t="shared" si="59"/>
        <v>15600</v>
      </c>
      <c r="O119" s="137" t="s">
        <v>31</v>
      </c>
      <c r="P119" s="134" t="s">
        <v>3</v>
      </c>
    </row>
    <row r="120" spans="1:16" ht="27.75" customHeight="1" x14ac:dyDescent="0.3">
      <c r="A120" s="1" t="s">
        <v>5</v>
      </c>
      <c r="B120" s="26" t="s">
        <v>30</v>
      </c>
      <c r="C120" s="153" t="s">
        <v>51</v>
      </c>
      <c r="D120" s="27">
        <v>32.5</v>
      </c>
      <c r="E120" s="28">
        <v>20</v>
      </c>
      <c r="F120" s="7">
        <v>43952</v>
      </c>
      <c r="G120" s="8">
        <v>44408</v>
      </c>
      <c r="H120" s="9">
        <f>D120*E120*15</f>
        <v>9750</v>
      </c>
      <c r="I120" s="10"/>
      <c r="J120" s="21"/>
      <c r="K120" s="67"/>
      <c r="L120" s="21"/>
      <c r="M120" s="21"/>
      <c r="N120" s="18">
        <f t="shared" si="59"/>
        <v>9750</v>
      </c>
      <c r="O120" s="137" t="s">
        <v>33</v>
      </c>
      <c r="P120" s="134" t="s">
        <v>3</v>
      </c>
    </row>
    <row r="121" spans="1:16" ht="27.75" customHeight="1" x14ac:dyDescent="0.3">
      <c r="A121" s="1" t="s">
        <v>5</v>
      </c>
      <c r="B121" s="30" t="s">
        <v>35</v>
      </c>
      <c r="C121" s="153" t="s">
        <v>51</v>
      </c>
      <c r="D121" s="36">
        <v>32.5</v>
      </c>
      <c r="E121" s="38">
        <v>15</v>
      </c>
      <c r="F121" s="7">
        <v>43952</v>
      </c>
      <c r="G121" s="8">
        <v>45046</v>
      </c>
      <c r="H121" s="9">
        <f>D121*E121*36</f>
        <v>17550</v>
      </c>
      <c r="I121" s="10"/>
      <c r="J121" s="6"/>
      <c r="K121" s="11"/>
      <c r="L121" s="21"/>
      <c r="M121" s="21"/>
      <c r="N121" s="18">
        <f t="shared" si="59"/>
        <v>17550</v>
      </c>
      <c r="O121" s="137" t="s">
        <v>83</v>
      </c>
      <c r="P121" s="134" t="s">
        <v>3</v>
      </c>
    </row>
    <row r="122" spans="1:16" ht="26.25" customHeight="1" x14ac:dyDescent="0.3">
      <c r="A122" s="1" t="s">
        <v>5</v>
      </c>
      <c r="B122" s="7" t="s">
        <v>43</v>
      </c>
      <c r="C122" s="153" t="s">
        <v>51</v>
      </c>
      <c r="D122" s="27">
        <v>32.5</v>
      </c>
      <c r="E122" s="38">
        <v>15</v>
      </c>
      <c r="F122" s="7">
        <v>43952</v>
      </c>
      <c r="G122" s="8">
        <v>44325</v>
      </c>
      <c r="H122" s="9">
        <f>D122*E122*12</f>
        <v>5850</v>
      </c>
      <c r="I122" s="10"/>
      <c r="J122" s="39"/>
      <c r="K122" s="40"/>
      <c r="L122" s="21"/>
      <c r="M122" s="21"/>
      <c r="N122" s="18">
        <f t="shared" ref="N122:N123" si="61">SUM(H122:M122)</f>
        <v>5850</v>
      </c>
      <c r="O122" s="137" t="s">
        <v>44</v>
      </c>
      <c r="P122" s="134" t="s">
        <v>3</v>
      </c>
    </row>
    <row r="123" spans="1:16" ht="25.5" customHeight="1" x14ac:dyDescent="0.3">
      <c r="A123" s="1" t="s">
        <v>5</v>
      </c>
      <c r="B123" s="7" t="s">
        <v>43</v>
      </c>
      <c r="C123" s="153" t="s">
        <v>51</v>
      </c>
      <c r="D123" s="27">
        <v>32.5</v>
      </c>
      <c r="E123" s="38">
        <v>15</v>
      </c>
      <c r="F123" s="7">
        <v>43952</v>
      </c>
      <c r="G123" s="8">
        <v>44377</v>
      </c>
      <c r="H123" s="9">
        <f>D123*E123*14</f>
        <v>6825</v>
      </c>
      <c r="I123" s="10"/>
      <c r="J123" s="39"/>
      <c r="K123" s="40"/>
      <c r="L123" s="21"/>
      <c r="M123" s="21"/>
      <c r="N123" s="18">
        <f t="shared" si="61"/>
        <v>6825</v>
      </c>
      <c r="O123" s="137" t="s">
        <v>44</v>
      </c>
      <c r="P123" s="134" t="s">
        <v>3</v>
      </c>
    </row>
    <row r="124" spans="1:16" ht="25.5" customHeight="1" x14ac:dyDescent="0.3">
      <c r="A124" s="1" t="s">
        <v>5</v>
      </c>
      <c r="B124" s="7" t="s">
        <v>43</v>
      </c>
      <c r="C124" s="153" t="s">
        <v>51</v>
      </c>
      <c r="D124" s="27">
        <v>32.5</v>
      </c>
      <c r="E124" s="38">
        <v>15</v>
      </c>
      <c r="F124" s="7">
        <v>44431</v>
      </c>
      <c r="G124" s="8">
        <v>45046</v>
      </c>
      <c r="H124" s="9">
        <f>D124*E124*20.75</f>
        <v>10115.625</v>
      </c>
      <c r="I124" s="10"/>
      <c r="J124" s="39"/>
      <c r="K124" s="40"/>
      <c r="L124" s="21"/>
      <c r="M124" s="21"/>
      <c r="N124" s="18">
        <f t="shared" ref="N124" si="62">SUM(H124:M124)</f>
        <v>10115.625</v>
      </c>
      <c r="O124" s="137" t="s">
        <v>44</v>
      </c>
      <c r="P124" s="134" t="s">
        <v>3</v>
      </c>
    </row>
    <row r="125" spans="1:16" ht="23.25" customHeight="1" x14ac:dyDescent="0.3">
      <c r="A125" s="1" t="s">
        <v>5</v>
      </c>
      <c r="B125" s="30" t="s">
        <v>54</v>
      </c>
      <c r="C125" s="153" t="s">
        <v>51</v>
      </c>
      <c r="D125" s="63">
        <v>17.239999999999998</v>
      </c>
      <c r="E125" s="64">
        <v>134</v>
      </c>
      <c r="F125" s="7">
        <v>43952</v>
      </c>
      <c r="G125" s="8">
        <v>44957</v>
      </c>
      <c r="H125" s="9">
        <f>D125*E125*21</f>
        <v>48513.36</v>
      </c>
      <c r="I125" s="65">
        <f t="shared" ref="I125:I128" si="63">H125*4%</f>
        <v>1940.5344</v>
      </c>
      <c r="J125" s="21"/>
      <c r="K125" s="11"/>
      <c r="L125" s="13"/>
      <c r="M125" s="13"/>
      <c r="N125" s="18">
        <f t="shared" si="59"/>
        <v>50453.894399999997</v>
      </c>
      <c r="O125" s="137" t="s">
        <v>103</v>
      </c>
      <c r="P125" s="134" t="s">
        <v>3</v>
      </c>
    </row>
    <row r="126" spans="1:16" ht="23.25" customHeight="1" x14ac:dyDescent="0.3">
      <c r="A126" s="1" t="s">
        <v>5</v>
      </c>
      <c r="B126" s="62" t="s">
        <v>55</v>
      </c>
      <c r="C126" s="153" t="s">
        <v>51</v>
      </c>
      <c r="D126" s="66">
        <v>17.239999999999998</v>
      </c>
      <c r="E126" s="31">
        <v>134</v>
      </c>
      <c r="F126" s="7">
        <v>43952</v>
      </c>
      <c r="G126" s="8">
        <v>44316</v>
      </c>
      <c r="H126" s="9">
        <f>D126*E126*12</f>
        <v>27721.919999999998</v>
      </c>
      <c r="I126" s="65">
        <f t="shared" si="63"/>
        <v>1108.8768</v>
      </c>
      <c r="J126" s="45"/>
      <c r="K126" s="67"/>
      <c r="L126" s="21"/>
      <c r="M126" s="21"/>
      <c r="N126" s="18">
        <f t="shared" si="59"/>
        <v>28830.796799999996</v>
      </c>
      <c r="O126" s="137" t="s">
        <v>56</v>
      </c>
      <c r="P126" s="134" t="s">
        <v>3</v>
      </c>
    </row>
    <row r="127" spans="1:16" ht="24" customHeight="1" x14ac:dyDescent="0.3">
      <c r="A127" s="1" t="s">
        <v>5</v>
      </c>
      <c r="B127" s="62" t="s">
        <v>47</v>
      </c>
      <c r="C127" s="153" t="s">
        <v>51</v>
      </c>
      <c r="D127" s="36">
        <v>17.239999999999998</v>
      </c>
      <c r="E127" s="64">
        <v>134</v>
      </c>
      <c r="F127" s="7">
        <v>43952</v>
      </c>
      <c r="G127" s="8">
        <v>45046</v>
      </c>
      <c r="H127" s="9">
        <f>D127*E127*36</f>
        <v>83165.759999999995</v>
      </c>
      <c r="I127" s="65">
        <f t="shared" si="63"/>
        <v>3326.6304</v>
      </c>
      <c r="J127" s="25"/>
      <c r="K127" s="25"/>
      <c r="L127" s="21"/>
      <c r="M127" s="21"/>
      <c r="N127" s="18">
        <f t="shared" si="59"/>
        <v>86492.390399999989</v>
      </c>
      <c r="O127" s="137" t="s">
        <v>84</v>
      </c>
      <c r="P127" s="134" t="s">
        <v>3</v>
      </c>
    </row>
    <row r="128" spans="1:16" ht="25.5" customHeight="1" x14ac:dyDescent="0.3">
      <c r="A128" s="1" t="s">
        <v>5</v>
      </c>
      <c r="B128" s="62" t="s">
        <v>47</v>
      </c>
      <c r="C128" s="153" t="s">
        <v>51</v>
      </c>
      <c r="D128" s="36">
        <v>17.239999999999998</v>
      </c>
      <c r="E128" s="68">
        <v>44</v>
      </c>
      <c r="F128" s="7">
        <v>43466</v>
      </c>
      <c r="G128" s="8">
        <v>43951</v>
      </c>
      <c r="H128" s="9">
        <f>D128*E128*16</f>
        <v>12136.96</v>
      </c>
      <c r="I128" s="65">
        <f t="shared" si="63"/>
        <v>485.47839999999997</v>
      </c>
      <c r="J128" s="45"/>
      <c r="K128" s="11"/>
      <c r="L128" s="21"/>
      <c r="M128" s="21"/>
      <c r="N128" s="18">
        <f t="shared" si="59"/>
        <v>12622.438399999999</v>
      </c>
      <c r="O128" s="137" t="s">
        <v>48</v>
      </c>
      <c r="P128" s="134" t="s">
        <v>3</v>
      </c>
    </row>
    <row r="129" spans="1:16" ht="25.5" customHeight="1" x14ac:dyDescent="0.3">
      <c r="A129" s="1" t="s">
        <v>5</v>
      </c>
      <c r="B129" s="62" t="s">
        <v>47</v>
      </c>
      <c r="C129" s="153" t="s">
        <v>51</v>
      </c>
      <c r="D129" s="36">
        <v>17.239999999999998</v>
      </c>
      <c r="E129" s="68">
        <v>44</v>
      </c>
      <c r="F129" s="7">
        <v>43952</v>
      </c>
      <c r="G129" s="8">
        <v>44316</v>
      </c>
      <c r="H129" s="9">
        <f>D129*E129*16</f>
        <v>12136.96</v>
      </c>
      <c r="I129" s="65">
        <f t="shared" ref="I129" si="64">H129*4%</f>
        <v>485.47839999999997</v>
      </c>
      <c r="J129" s="25"/>
      <c r="K129" s="25"/>
      <c r="L129" s="21"/>
      <c r="M129" s="21"/>
      <c r="N129" s="18">
        <f t="shared" si="59"/>
        <v>12622.438399999999</v>
      </c>
      <c r="O129" s="137" t="s">
        <v>65</v>
      </c>
      <c r="P129" s="134" t="s">
        <v>3</v>
      </c>
    </row>
    <row r="130" spans="1:16" ht="24" x14ac:dyDescent="0.3">
      <c r="A130" s="1" t="s">
        <v>5</v>
      </c>
      <c r="B130" s="69" t="s">
        <v>1</v>
      </c>
      <c r="C130" s="153" t="s">
        <v>51</v>
      </c>
      <c r="D130" s="27">
        <v>20</v>
      </c>
      <c r="E130" s="43">
        <v>44</v>
      </c>
      <c r="F130" s="7">
        <v>43952</v>
      </c>
      <c r="G130" s="8">
        <v>44104</v>
      </c>
      <c r="H130" s="9">
        <f>D130*E130*5</f>
        <v>4400</v>
      </c>
      <c r="I130" s="25"/>
      <c r="J130" s="65">
        <f>H130*2%</f>
        <v>88</v>
      </c>
      <c r="K130" s="44"/>
      <c r="L130" s="45"/>
      <c r="M130" s="70"/>
      <c r="N130" s="18">
        <f t="shared" si="59"/>
        <v>4488</v>
      </c>
      <c r="O130" s="137" t="s">
        <v>96</v>
      </c>
      <c r="P130" s="134" t="s">
        <v>3</v>
      </c>
    </row>
    <row r="131" spans="1:16" ht="24" x14ac:dyDescent="0.3">
      <c r="A131" s="1" t="s">
        <v>5</v>
      </c>
      <c r="B131" s="69" t="s">
        <v>1</v>
      </c>
      <c r="C131" s="153" t="s">
        <v>51</v>
      </c>
      <c r="D131" s="27">
        <v>20</v>
      </c>
      <c r="E131" s="43">
        <v>44</v>
      </c>
      <c r="F131" s="7">
        <v>43952</v>
      </c>
      <c r="G131" s="8">
        <v>44043</v>
      </c>
      <c r="H131" s="9">
        <f>D131*E131*3</f>
        <v>2640</v>
      </c>
      <c r="I131" s="25"/>
      <c r="J131" s="65">
        <f>H131*2%</f>
        <v>52.800000000000004</v>
      </c>
      <c r="K131" s="44"/>
      <c r="L131" s="45"/>
      <c r="M131" s="70"/>
      <c r="N131" s="18">
        <f t="shared" si="59"/>
        <v>2692.8</v>
      </c>
      <c r="O131" s="137" t="s">
        <v>96</v>
      </c>
      <c r="P131" s="134" t="s">
        <v>3</v>
      </c>
    </row>
    <row r="132" spans="1:16" ht="22.5" x14ac:dyDescent="0.3">
      <c r="A132" s="1" t="s">
        <v>5</v>
      </c>
      <c r="B132" s="69" t="s">
        <v>1</v>
      </c>
      <c r="C132" s="153" t="s">
        <v>51</v>
      </c>
      <c r="D132" s="27">
        <v>20</v>
      </c>
      <c r="E132" s="43">
        <v>135</v>
      </c>
      <c r="F132" s="7">
        <v>44218</v>
      </c>
      <c r="G132" s="8">
        <v>45046</v>
      </c>
      <c r="H132" s="9">
        <f>D132*E132*27.75</f>
        <v>74925</v>
      </c>
      <c r="I132" s="25"/>
      <c r="J132" s="65">
        <f>H132*2%</f>
        <v>1498.5</v>
      </c>
      <c r="K132" s="44"/>
      <c r="L132" s="45"/>
      <c r="M132" s="70"/>
      <c r="N132" s="18">
        <f t="shared" ref="N132" si="65">SUM(H132:M132)</f>
        <v>76423.5</v>
      </c>
      <c r="O132" s="137" t="s">
        <v>85</v>
      </c>
      <c r="P132" s="134" t="s">
        <v>3</v>
      </c>
    </row>
    <row r="133" spans="1:16" ht="24" x14ac:dyDescent="0.3">
      <c r="A133" s="1" t="s">
        <v>5</v>
      </c>
      <c r="B133" s="69" t="s">
        <v>0</v>
      </c>
      <c r="C133" s="153" t="s">
        <v>51</v>
      </c>
      <c r="D133" s="71">
        <v>20</v>
      </c>
      <c r="E133" s="6">
        <v>113</v>
      </c>
      <c r="F133" s="7">
        <v>43952</v>
      </c>
      <c r="G133" s="8">
        <v>44326</v>
      </c>
      <c r="H133" s="9">
        <f>D133*E133*12.5</f>
        <v>28250</v>
      </c>
      <c r="I133" s="72"/>
      <c r="J133" s="24"/>
      <c r="K133" s="65">
        <f t="shared" ref="K133:K141" si="66">H133*2%</f>
        <v>565</v>
      </c>
      <c r="L133" s="21"/>
      <c r="M133" s="21"/>
      <c r="N133" s="18">
        <f t="shared" si="59"/>
        <v>28815</v>
      </c>
      <c r="O133" s="137" t="s">
        <v>86</v>
      </c>
      <c r="P133" s="134" t="s">
        <v>3</v>
      </c>
    </row>
    <row r="134" spans="1:16" ht="24" x14ac:dyDescent="0.3">
      <c r="A134" s="1" t="s">
        <v>5</v>
      </c>
      <c r="B134" s="69" t="s">
        <v>0</v>
      </c>
      <c r="C134" s="153" t="s">
        <v>51</v>
      </c>
      <c r="D134" s="71">
        <v>20</v>
      </c>
      <c r="E134" s="6">
        <v>113</v>
      </c>
      <c r="F134" s="7">
        <v>43952</v>
      </c>
      <c r="G134" s="8">
        <v>44805</v>
      </c>
      <c r="H134" s="9">
        <f>D134*E134*28</f>
        <v>63280</v>
      </c>
      <c r="I134" s="72"/>
      <c r="J134" s="24"/>
      <c r="K134" s="65">
        <f t="shared" si="66"/>
        <v>1265.6000000000001</v>
      </c>
      <c r="L134" s="21"/>
      <c r="M134" s="21"/>
      <c r="N134" s="18">
        <f t="shared" si="59"/>
        <v>64545.599999999999</v>
      </c>
      <c r="O134" s="137" t="s">
        <v>86</v>
      </c>
      <c r="P134" s="134" t="s">
        <v>3</v>
      </c>
    </row>
    <row r="135" spans="1:16" ht="24" x14ac:dyDescent="0.3">
      <c r="A135" s="1" t="s">
        <v>5</v>
      </c>
      <c r="B135" s="69" t="s">
        <v>0</v>
      </c>
      <c r="C135" s="153" t="s">
        <v>51</v>
      </c>
      <c r="D135" s="71">
        <v>20</v>
      </c>
      <c r="E135" s="6">
        <v>113</v>
      </c>
      <c r="F135" s="7">
        <v>43952</v>
      </c>
      <c r="G135" s="8">
        <v>45046</v>
      </c>
      <c r="H135" s="9">
        <f>D135*E135*36</f>
        <v>81360</v>
      </c>
      <c r="I135" s="72"/>
      <c r="J135" s="24"/>
      <c r="K135" s="65">
        <f t="shared" si="66"/>
        <v>1627.2</v>
      </c>
      <c r="L135" s="21"/>
      <c r="M135" s="21"/>
      <c r="N135" s="18">
        <f t="shared" si="59"/>
        <v>82987.199999999997</v>
      </c>
      <c r="O135" s="137" t="s">
        <v>87</v>
      </c>
      <c r="P135" s="134" t="s">
        <v>3</v>
      </c>
    </row>
    <row r="136" spans="1:16" ht="24" x14ac:dyDescent="0.3">
      <c r="A136" s="1" t="s">
        <v>5</v>
      </c>
      <c r="B136" s="69" t="s">
        <v>0</v>
      </c>
      <c r="C136" s="153" t="s">
        <v>51</v>
      </c>
      <c r="D136" s="71">
        <v>20</v>
      </c>
      <c r="E136" s="6">
        <v>80</v>
      </c>
      <c r="F136" s="7">
        <v>43952</v>
      </c>
      <c r="G136" s="8">
        <v>44849</v>
      </c>
      <c r="H136" s="9">
        <f>D136*E136*29.5</f>
        <v>47200</v>
      </c>
      <c r="I136" s="72"/>
      <c r="J136" s="73"/>
      <c r="K136" s="65">
        <f t="shared" si="66"/>
        <v>944</v>
      </c>
      <c r="L136" s="52"/>
      <c r="M136" s="111"/>
      <c r="N136" s="18">
        <f t="shared" si="59"/>
        <v>48144</v>
      </c>
      <c r="O136" s="137" t="s">
        <v>86</v>
      </c>
      <c r="P136" s="134" t="s">
        <v>3</v>
      </c>
    </row>
    <row r="137" spans="1:16" ht="24" x14ac:dyDescent="0.3">
      <c r="A137" s="1" t="s">
        <v>5</v>
      </c>
      <c r="B137" s="69" t="s">
        <v>0</v>
      </c>
      <c r="C137" s="153" t="s">
        <v>51</v>
      </c>
      <c r="D137" s="71">
        <v>20</v>
      </c>
      <c r="E137" s="23">
        <v>80</v>
      </c>
      <c r="F137" s="7">
        <v>43952</v>
      </c>
      <c r="G137" s="8">
        <v>45046</v>
      </c>
      <c r="H137" s="9">
        <f>D137*E137*36</f>
        <v>57600</v>
      </c>
      <c r="I137" s="72"/>
      <c r="J137" s="24"/>
      <c r="K137" s="65">
        <f t="shared" si="66"/>
        <v>1152</v>
      </c>
      <c r="L137" s="21"/>
      <c r="M137" s="21"/>
      <c r="N137" s="18">
        <f t="shared" si="59"/>
        <v>58752</v>
      </c>
      <c r="O137" s="137" t="s">
        <v>86</v>
      </c>
      <c r="P137" s="134" t="s">
        <v>3</v>
      </c>
    </row>
    <row r="138" spans="1:16" ht="26.25" customHeight="1" x14ac:dyDescent="0.3">
      <c r="A138" s="1" t="s">
        <v>5</v>
      </c>
      <c r="B138" s="69" t="s">
        <v>0</v>
      </c>
      <c r="C138" s="153" t="s">
        <v>51</v>
      </c>
      <c r="D138" s="71">
        <v>20</v>
      </c>
      <c r="E138" s="23">
        <v>80</v>
      </c>
      <c r="F138" s="7">
        <v>43952</v>
      </c>
      <c r="G138" s="8">
        <v>44805</v>
      </c>
      <c r="H138" s="9">
        <f>D138*E138*28</f>
        <v>44800</v>
      </c>
      <c r="I138" s="72"/>
      <c r="J138" s="24"/>
      <c r="K138" s="65">
        <f t="shared" si="66"/>
        <v>896</v>
      </c>
      <c r="L138" s="21"/>
      <c r="M138" s="21"/>
      <c r="N138" s="18">
        <f t="shared" si="59"/>
        <v>45696</v>
      </c>
      <c r="O138" s="137" t="s">
        <v>86</v>
      </c>
      <c r="P138" s="134" t="s">
        <v>3</v>
      </c>
    </row>
    <row r="139" spans="1:16" ht="27.75" customHeight="1" x14ac:dyDescent="0.3">
      <c r="A139" s="1" t="s">
        <v>5</v>
      </c>
      <c r="B139" s="74" t="s">
        <v>0</v>
      </c>
      <c r="C139" s="153" t="s">
        <v>51</v>
      </c>
      <c r="D139" s="75">
        <v>20</v>
      </c>
      <c r="E139" s="76">
        <v>80</v>
      </c>
      <c r="F139" s="7">
        <v>43952</v>
      </c>
      <c r="G139" s="8">
        <v>44725</v>
      </c>
      <c r="H139" s="9">
        <f>D139*E139*25.5</f>
        <v>40800</v>
      </c>
      <c r="I139" s="72"/>
      <c r="J139" s="24"/>
      <c r="K139" s="65">
        <f t="shared" si="66"/>
        <v>816</v>
      </c>
      <c r="L139" s="21"/>
      <c r="M139" s="21"/>
      <c r="N139" s="18">
        <f t="shared" ref="N139:N143" si="67">SUM(H139:M139)</f>
        <v>41616</v>
      </c>
      <c r="O139" s="137" t="s">
        <v>86</v>
      </c>
      <c r="P139" s="134" t="s">
        <v>3</v>
      </c>
    </row>
    <row r="140" spans="1:16" ht="27.75" customHeight="1" x14ac:dyDescent="0.3">
      <c r="A140" s="1" t="s">
        <v>5</v>
      </c>
      <c r="B140" s="74" t="s">
        <v>0</v>
      </c>
      <c r="C140" s="153" t="s">
        <v>51</v>
      </c>
      <c r="D140" s="75">
        <v>20</v>
      </c>
      <c r="E140" s="76">
        <v>80</v>
      </c>
      <c r="F140" s="7">
        <v>44795</v>
      </c>
      <c r="G140" s="8">
        <v>45046</v>
      </c>
      <c r="H140" s="9">
        <f>D140*E140*8.25</f>
        <v>13200</v>
      </c>
      <c r="I140" s="72"/>
      <c r="J140" s="80"/>
      <c r="K140" s="65">
        <f t="shared" si="66"/>
        <v>264</v>
      </c>
      <c r="L140" s="21"/>
      <c r="M140" s="21"/>
      <c r="N140" s="18">
        <f t="shared" si="67"/>
        <v>13464</v>
      </c>
      <c r="O140" s="137" t="s">
        <v>118</v>
      </c>
      <c r="P140" s="134" t="s">
        <v>3</v>
      </c>
    </row>
    <row r="141" spans="1:16" ht="27.75" customHeight="1" x14ac:dyDescent="0.3">
      <c r="A141" s="1" t="s">
        <v>5</v>
      </c>
      <c r="B141" s="74" t="s">
        <v>0</v>
      </c>
      <c r="C141" s="153" t="s">
        <v>51</v>
      </c>
      <c r="D141" s="75">
        <v>20</v>
      </c>
      <c r="E141" s="76">
        <v>80</v>
      </c>
      <c r="F141" s="7">
        <v>44809</v>
      </c>
      <c r="G141" s="8">
        <v>45046</v>
      </c>
      <c r="H141" s="9">
        <f>D141*E141*8</f>
        <v>12800</v>
      </c>
      <c r="I141" s="72"/>
      <c r="J141" s="80"/>
      <c r="K141" s="65">
        <f t="shared" si="66"/>
        <v>256</v>
      </c>
      <c r="L141" s="21"/>
      <c r="M141" s="21"/>
      <c r="N141" s="18">
        <f t="shared" si="67"/>
        <v>13056</v>
      </c>
      <c r="O141" s="137" t="s">
        <v>118</v>
      </c>
      <c r="P141" s="134" t="s">
        <v>3</v>
      </c>
    </row>
    <row r="142" spans="1:16" ht="24.75" customHeight="1" x14ac:dyDescent="0.3">
      <c r="A142" s="1" t="s">
        <v>5</v>
      </c>
      <c r="B142" s="74" t="s">
        <v>88</v>
      </c>
      <c r="C142" s="153" t="s">
        <v>51</v>
      </c>
      <c r="D142" s="75">
        <v>25</v>
      </c>
      <c r="E142" s="76">
        <v>136</v>
      </c>
      <c r="F142" s="7">
        <v>43972</v>
      </c>
      <c r="G142" s="8">
        <v>44210</v>
      </c>
      <c r="H142" s="9">
        <f>D142*E142*8</f>
        <v>27200</v>
      </c>
      <c r="I142" s="72">
        <f>H142*4/100</f>
        <v>1088</v>
      </c>
      <c r="J142" s="80">
        <f>(H142+I142)*22%</f>
        <v>6223.36</v>
      </c>
      <c r="K142" s="65"/>
      <c r="L142" s="21"/>
      <c r="M142" s="21"/>
      <c r="N142" s="18">
        <f t="shared" si="67"/>
        <v>34511.360000000001</v>
      </c>
      <c r="O142" s="137" t="s">
        <v>90</v>
      </c>
      <c r="P142" s="134" t="s">
        <v>3</v>
      </c>
    </row>
    <row r="143" spans="1:16" ht="24" customHeight="1" x14ac:dyDescent="0.3">
      <c r="A143" s="1" t="s">
        <v>5</v>
      </c>
      <c r="B143" s="74" t="s">
        <v>88</v>
      </c>
      <c r="C143" s="153" t="s">
        <v>51</v>
      </c>
      <c r="D143" s="75">
        <v>25</v>
      </c>
      <c r="E143" s="76">
        <v>136</v>
      </c>
      <c r="F143" s="7">
        <v>44224</v>
      </c>
      <c r="G143" s="8">
        <v>45066</v>
      </c>
      <c r="H143" s="9">
        <f>D143*E143*27.75</f>
        <v>94350</v>
      </c>
      <c r="I143" s="72">
        <f>H143*4/100</f>
        <v>3774</v>
      </c>
      <c r="J143" s="80">
        <f>(H143+I143)*22%</f>
        <v>21587.279999999999</v>
      </c>
      <c r="K143" s="65"/>
      <c r="L143" s="21"/>
      <c r="M143" s="21"/>
      <c r="N143" s="18">
        <f t="shared" si="67"/>
        <v>119711.28</v>
      </c>
      <c r="O143" s="137" t="s">
        <v>89</v>
      </c>
      <c r="P143" s="134" t="s">
        <v>3</v>
      </c>
    </row>
    <row r="144" spans="1:16" ht="24" customHeight="1" x14ac:dyDescent="0.3">
      <c r="A144" s="1" t="s">
        <v>5</v>
      </c>
      <c r="B144" s="77" t="s">
        <v>20</v>
      </c>
      <c r="C144" s="77" t="s">
        <v>67</v>
      </c>
      <c r="D144" s="5">
        <v>25</v>
      </c>
      <c r="E144" s="28">
        <v>125</v>
      </c>
      <c r="F144" s="7">
        <v>43952</v>
      </c>
      <c r="G144" s="8">
        <v>44408</v>
      </c>
      <c r="H144" s="9">
        <f>D144*E144*15</f>
        <v>46875</v>
      </c>
      <c r="I144" s="25"/>
      <c r="J144" s="78"/>
      <c r="K144" s="11"/>
      <c r="L144" s="21"/>
      <c r="M144" s="21"/>
      <c r="N144" s="18">
        <f t="shared" ref="N144" si="68">SUM(H144:M144)</f>
        <v>46875</v>
      </c>
      <c r="O144" s="137" t="s">
        <v>100</v>
      </c>
      <c r="P144" s="134" t="s">
        <v>3</v>
      </c>
    </row>
    <row r="145" spans="1:16" ht="24.75" customHeight="1" x14ac:dyDescent="0.3">
      <c r="A145" s="1" t="s">
        <v>5</v>
      </c>
      <c r="B145" s="77" t="s">
        <v>20</v>
      </c>
      <c r="C145" s="77" t="s">
        <v>67</v>
      </c>
      <c r="D145" s="5">
        <v>32</v>
      </c>
      <c r="E145" s="28">
        <v>125</v>
      </c>
      <c r="F145" s="7">
        <v>44409</v>
      </c>
      <c r="G145" s="8">
        <v>45046</v>
      </c>
      <c r="H145" s="9">
        <f>D145*E145*21</f>
        <v>84000</v>
      </c>
      <c r="I145" s="25"/>
      <c r="J145" s="78"/>
      <c r="K145" s="11"/>
      <c r="L145" s="21"/>
      <c r="M145" s="21"/>
      <c r="N145" s="18">
        <f t="shared" ref="N145" si="69">SUM(H145:M145)</f>
        <v>84000</v>
      </c>
      <c r="O145" s="137" t="s">
        <v>100</v>
      </c>
      <c r="P145" s="134" t="s">
        <v>3</v>
      </c>
    </row>
    <row r="146" spans="1:16" ht="24" customHeight="1" x14ac:dyDescent="0.3">
      <c r="A146" s="1" t="s">
        <v>5</v>
      </c>
      <c r="B146" s="77" t="s">
        <v>20</v>
      </c>
      <c r="C146" s="77" t="s">
        <v>67</v>
      </c>
      <c r="D146" s="5">
        <v>25</v>
      </c>
      <c r="E146" s="28">
        <v>125</v>
      </c>
      <c r="F146" s="7">
        <v>43831</v>
      </c>
      <c r="G146" s="8">
        <v>44561</v>
      </c>
      <c r="H146" s="9">
        <f>D146*E146*24</f>
        <v>75000</v>
      </c>
      <c r="I146" s="25"/>
      <c r="J146" s="78"/>
      <c r="K146" s="11"/>
      <c r="L146" s="21"/>
      <c r="M146" s="21"/>
      <c r="N146" s="18">
        <f t="shared" ref="N146:N189" si="70">SUM(H146:M146)</f>
        <v>75000</v>
      </c>
      <c r="O146" s="138" t="s">
        <v>106</v>
      </c>
      <c r="P146" s="134" t="s">
        <v>3</v>
      </c>
    </row>
    <row r="147" spans="1:16" ht="24" customHeight="1" x14ac:dyDescent="0.3">
      <c r="A147" s="1" t="s">
        <v>5</v>
      </c>
      <c r="B147" s="77" t="s">
        <v>20</v>
      </c>
      <c r="C147" s="77" t="s">
        <v>67</v>
      </c>
      <c r="D147" s="5">
        <v>32</v>
      </c>
      <c r="E147" s="28">
        <v>125</v>
      </c>
      <c r="F147" s="7">
        <v>44562</v>
      </c>
      <c r="G147" s="8">
        <v>44742</v>
      </c>
      <c r="H147" s="9">
        <f>D147*E147*6</f>
        <v>24000</v>
      </c>
      <c r="I147" s="25"/>
      <c r="J147" s="78"/>
      <c r="K147" s="11"/>
      <c r="L147" s="21"/>
      <c r="M147" s="21"/>
      <c r="N147" s="18">
        <f t="shared" ref="N147" si="71">SUM(H147:M147)</f>
        <v>24000</v>
      </c>
      <c r="O147" s="138" t="s">
        <v>91</v>
      </c>
      <c r="P147" s="134" t="s">
        <v>3</v>
      </c>
    </row>
    <row r="148" spans="1:16" ht="26.25" customHeight="1" x14ac:dyDescent="0.3">
      <c r="A148" s="1" t="s">
        <v>5</v>
      </c>
      <c r="B148" s="77" t="s">
        <v>20</v>
      </c>
      <c r="C148" s="77" t="s">
        <v>67</v>
      </c>
      <c r="D148" s="5">
        <v>25</v>
      </c>
      <c r="E148" s="28">
        <v>125</v>
      </c>
      <c r="F148" s="7">
        <v>43952</v>
      </c>
      <c r="G148" s="8">
        <v>44408</v>
      </c>
      <c r="H148" s="9">
        <f>D148*E148*15</f>
        <v>46875</v>
      </c>
      <c r="I148" s="25"/>
      <c r="J148" s="78"/>
      <c r="K148" s="11"/>
      <c r="L148" s="21"/>
      <c r="M148" s="21"/>
      <c r="N148" s="18">
        <f t="shared" si="70"/>
        <v>46875</v>
      </c>
      <c r="O148" s="138" t="s">
        <v>79</v>
      </c>
      <c r="P148" s="134" t="s">
        <v>3</v>
      </c>
    </row>
    <row r="149" spans="1:16" ht="22.5" x14ac:dyDescent="0.3">
      <c r="A149" s="1" t="s">
        <v>5</v>
      </c>
      <c r="B149" s="77" t="s">
        <v>20</v>
      </c>
      <c r="C149" s="77" t="s">
        <v>67</v>
      </c>
      <c r="D149" s="5">
        <v>32</v>
      </c>
      <c r="E149" s="28">
        <v>125</v>
      </c>
      <c r="F149" s="7">
        <v>44409</v>
      </c>
      <c r="G149" s="8">
        <v>45046</v>
      </c>
      <c r="H149" s="9">
        <f>D149*E149*21</f>
        <v>84000</v>
      </c>
      <c r="I149" s="25"/>
      <c r="J149" s="78"/>
      <c r="K149" s="11"/>
      <c r="L149" s="21"/>
      <c r="M149" s="21"/>
      <c r="N149" s="18">
        <f t="shared" ref="N149" si="72">SUM(H149:M149)</f>
        <v>84000</v>
      </c>
      <c r="O149" s="138" t="s">
        <v>100</v>
      </c>
      <c r="P149" s="134" t="s">
        <v>3</v>
      </c>
    </row>
    <row r="150" spans="1:16" ht="24.75" customHeight="1" x14ac:dyDescent="0.3">
      <c r="A150" s="1" t="s">
        <v>5</v>
      </c>
      <c r="B150" s="77" t="s">
        <v>20</v>
      </c>
      <c r="C150" s="77" t="s">
        <v>67</v>
      </c>
      <c r="D150" s="5">
        <v>25</v>
      </c>
      <c r="E150" s="28">
        <v>125</v>
      </c>
      <c r="F150" s="7">
        <v>43952</v>
      </c>
      <c r="G150" s="8">
        <v>44408</v>
      </c>
      <c r="H150" s="9">
        <f>D150*E150*15</f>
        <v>46875</v>
      </c>
      <c r="I150" s="25"/>
      <c r="J150" s="78"/>
      <c r="K150" s="11"/>
      <c r="L150" s="21"/>
      <c r="M150" s="21"/>
      <c r="N150" s="18">
        <f t="shared" si="70"/>
        <v>46875</v>
      </c>
      <c r="O150" s="138" t="s">
        <v>79</v>
      </c>
      <c r="P150" s="134" t="s">
        <v>3</v>
      </c>
    </row>
    <row r="151" spans="1:16" ht="22.5" x14ac:dyDescent="0.3">
      <c r="A151" s="1" t="s">
        <v>5</v>
      </c>
      <c r="B151" s="77" t="s">
        <v>20</v>
      </c>
      <c r="C151" s="77" t="s">
        <v>67</v>
      </c>
      <c r="D151" s="5">
        <v>32</v>
      </c>
      <c r="E151" s="28">
        <v>125</v>
      </c>
      <c r="F151" s="7">
        <v>44409</v>
      </c>
      <c r="G151" s="8">
        <v>45046</v>
      </c>
      <c r="H151" s="9">
        <f>D151*E151*21</f>
        <v>84000</v>
      </c>
      <c r="I151" s="25"/>
      <c r="J151" s="78"/>
      <c r="K151" s="11"/>
      <c r="L151" s="21"/>
      <c r="M151" s="21"/>
      <c r="N151" s="18">
        <f t="shared" si="70"/>
        <v>84000</v>
      </c>
      <c r="O151" s="138" t="s">
        <v>100</v>
      </c>
      <c r="P151" s="134" t="s">
        <v>3</v>
      </c>
    </row>
    <row r="152" spans="1:16" ht="22.5" customHeight="1" x14ac:dyDescent="0.3">
      <c r="A152" s="1" t="s">
        <v>5</v>
      </c>
      <c r="B152" s="77" t="s">
        <v>20</v>
      </c>
      <c r="C152" s="77" t="s">
        <v>67</v>
      </c>
      <c r="D152" s="5">
        <v>25</v>
      </c>
      <c r="E152" s="28">
        <v>125</v>
      </c>
      <c r="F152" s="7">
        <v>43952</v>
      </c>
      <c r="G152" s="8">
        <v>44408</v>
      </c>
      <c r="H152" s="9">
        <f>D152*E152*15</f>
        <v>46875</v>
      </c>
      <c r="I152" s="25"/>
      <c r="J152" s="78"/>
      <c r="K152" s="11"/>
      <c r="L152" s="21"/>
      <c r="M152" s="21"/>
      <c r="N152" s="18">
        <f t="shared" si="70"/>
        <v>46875</v>
      </c>
      <c r="O152" s="138" t="s">
        <v>79</v>
      </c>
      <c r="P152" s="134" t="s">
        <v>3</v>
      </c>
    </row>
    <row r="153" spans="1:16" ht="22.5" x14ac:dyDescent="0.3">
      <c r="A153" s="1" t="s">
        <v>5</v>
      </c>
      <c r="B153" s="77" t="s">
        <v>20</v>
      </c>
      <c r="C153" s="77" t="s">
        <v>67</v>
      </c>
      <c r="D153" s="5">
        <v>32</v>
      </c>
      <c r="E153" s="28">
        <v>125</v>
      </c>
      <c r="F153" s="7">
        <v>44409</v>
      </c>
      <c r="G153" s="8">
        <v>45046</v>
      </c>
      <c r="H153" s="9">
        <f>D153*E153*21</f>
        <v>84000</v>
      </c>
      <c r="I153" s="25"/>
      <c r="J153" s="78"/>
      <c r="K153" s="11"/>
      <c r="L153" s="21"/>
      <c r="M153" s="21"/>
      <c r="N153" s="18">
        <f t="shared" si="70"/>
        <v>84000</v>
      </c>
      <c r="O153" s="138" t="s">
        <v>100</v>
      </c>
      <c r="P153" s="134" t="s">
        <v>3</v>
      </c>
    </row>
    <row r="154" spans="1:16" ht="24.75" customHeight="1" x14ac:dyDescent="0.3">
      <c r="A154" s="1" t="s">
        <v>5</v>
      </c>
      <c r="B154" s="77" t="s">
        <v>20</v>
      </c>
      <c r="C154" s="77" t="s">
        <v>67</v>
      </c>
      <c r="D154" s="5">
        <v>25</v>
      </c>
      <c r="E154" s="28">
        <v>125</v>
      </c>
      <c r="F154" s="7">
        <v>43952</v>
      </c>
      <c r="G154" s="8">
        <v>44408</v>
      </c>
      <c r="H154" s="9">
        <f>D154*E154*15</f>
        <v>46875</v>
      </c>
      <c r="I154" s="25"/>
      <c r="J154" s="78"/>
      <c r="K154" s="11"/>
      <c r="L154" s="21"/>
      <c r="M154" s="21"/>
      <c r="N154" s="18">
        <f t="shared" si="70"/>
        <v>46875</v>
      </c>
      <c r="O154" s="138" t="s">
        <v>79</v>
      </c>
      <c r="P154" s="134" t="s">
        <v>3</v>
      </c>
    </row>
    <row r="155" spans="1:16" ht="22.5" x14ac:dyDescent="0.3">
      <c r="A155" s="1" t="s">
        <v>5</v>
      </c>
      <c r="B155" s="77" t="s">
        <v>20</v>
      </c>
      <c r="C155" s="77" t="s">
        <v>67</v>
      </c>
      <c r="D155" s="5">
        <v>32</v>
      </c>
      <c r="E155" s="28">
        <v>125</v>
      </c>
      <c r="F155" s="7">
        <v>44409</v>
      </c>
      <c r="G155" s="8">
        <v>45046</v>
      </c>
      <c r="H155" s="9">
        <f>D155*E155*21</f>
        <v>84000</v>
      </c>
      <c r="I155" s="25"/>
      <c r="J155" s="78"/>
      <c r="K155" s="11"/>
      <c r="L155" s="21"/>
      <c r="M155" s="21"/>
      <c r="N155" s="18">
        <f t="shared" si="70"/>
        <v>84000</v>
      </c>
      <c r="O155" s="138" t="s">
        <v>100</v>
      </c>
      <c r="P155" s="134" t="s">
        <v>3</v>
      </c>
    </row>
    <row r="156" spans="1:16" ht="24.75" customHeight="1" x14ac:dyDescent="0.3">
      <c r="A156" s="1" t="s">
        <v>5</v>
      </c>
      <c r="B156" s="77" t="s">
        <v>20</v>
      </c>
      <c r="C156" s="77" t="s">
        <v>67</v>
      </c>
      <c r="D156" s="5">
        <v>25</v>
      </c>
      <c r="E156" s="28">
        <v>125</v>
      </c>
      <c r="F156" s="7">
        <v>43952</v>
      </c>
      <c r="G156" s="8">
        <v>44408</v>
      </c>
      <c r="H156" s="9">
        <f>D156*E156*15</f>
        <v>46875</v>
      </c>
      <c r="I156" s="25"/>
      <c r="J156" s="78"/>
      <c r="K156" s="11"/>
      <c r="L156" s="21"/>
      <c r="M156" s="21"/>
      <c r="N156" s="18">
        <f t="shared" si="70"/>
        <v>46875</v>
      </c>
      <c r="O156" s="138" t="s">
        <v>79</v>
      </c>
      <c r="P156" s="134" t="s">
        <v>3</v>
      </c>
    </row>
    <row r="157" spans="1:16" ht="22.5" x14ac:dyDescent="0.3">
      <c r="A157" s="1" t="s">
        <v>5</v>
      </c>
      <c r="B157" s="77" t="s">
        <v>20</v>
      </c>
      <c r="C157" s="77" t="s">
        <v>67</v>
      </c>
      <c r="D157" s="5">
        <v>32</v>
      </c>
      <c r="E157" s="28">
        <v>125</v>
      </c>
      <c r="F157" s="7">
        <v>44409</v>
      </c>
      <c r="G157" s="8">
        <v>44550</v>
      </c>
      <c r="H157" s="9">
        <f>D157*E157*4.75</f>
        <v>19000</v>
      </c>
      <c r="I157" s="25"/>
      <c r="J157" s="78"/>
      <c r="K157" s="11"/>
      <c r="L157" s="21"/>
      <c r="M157" s="21"/>
      <c r="N157" s="18">
        <f t="shared" si="70"/>
        <v>19000</v>
      </c>
      <c r="O157" s="138" t="s">
        <v>100</v>
      </c>
      <c r="P157" s="134" t="s">
        <v>3</v>
      </c>
    </row>
    <row r="158" spans="1:16" ht="25.5" customHeight="1" x14ac:dyDescent="0.3">
      <c r="A158" s="1" t="s">
        <v>5</v>
      </c>
      <c r="B158" s="77" t="s">
        <v>20</v>
      </c>
      <c r="C158" s="77" t="s">
        <v>67</v>
      </c>
      <c r="D158" s="5">
        <v>25</v>
      </c>
      <c r="E158" s="28">
        <v>125</v>
      </c>
      <c r="F158" s="7">
        <v>43952</v>
      </c>
      <c r="G158" s="8">
        <v>44408</v>
      </c>
      <c r="H158" s="9">
        <f>D158*E158*15</f>
        <v>46875</v>
      </c>
      <c r="I158" s="25"/>
      <c r="J158" s="78"/>
      <c r="K158" s="11"/>
      <c r="L158" s="21"/>
      <c r="M158" s="21"/>
      <c r="N158" s="18">
        <f t="shared" si="70"/>
        <v>46875</v>
      </c>
      <c r="O158" s="138" t="s">
        <v>79</v>
      </c>
      <c r="P158" s="134" t="s">
        <v>3</v>
      </c>
    </row>
    <row r="159" spans="1:16" ht="22.5" x14ac:dyDescent="0.3">
      <c r="A159" s="1" t="s">
        <v>5</v>
      </c>
      <c r="B159" s="77" t="s">
        <v>20</v>
      </c>
      <c r="C159" s="77" t="s">
        <v>67</v>
      </c>
      <c r="D159" s="5">
        <v>32</v>
      </c>
      <c r="E159" s="28">
        <v>125</v>
      </c>
      <c r="F159" s="7">
        <v>44409</v>
      </c>
      <c r="G159" s="8">
        <v>45046</v>
      </c>
      <c r="H159" s="9">
        <f>D159*E159*21</f>
        <v>84000</v>
      </c>
      <c r="I159" s="25"/>
      <c r="J159" s="78"/>
      <c r="K159" s="11"/>
      <c r="L159" s="21"/>
      <c r="M159" s="21"/>
      <c r="N159" s="18">
        <f t="shared" si="70"/>
        <v>84000</v>
      </c>
      <c r="O159" s="138" t="s">
        <v>100</v>
      </c>
      <c r="P159" s="134" t="s">
        <v>3</v>
      </c>
    </row>
    <row r="160" spans="1:16" ht="27" customHeight="1" x14ac:dyDescent="0.3">
      <c r="A160" s="1" t="s">
        <v>5</v>
      </c>
      <c r="B160" s="77" t="s">
        <v>20</v>
      </c>
      <c r="C160" s="77" t="s">
        <v>67</v>
      </c>
      <c r="D160" s="14">
        <v>25</v>
      </c>
      <c r="E160" s="28">
        <v>125</v>
      </c>
      <c r="F160" s="7">
        <v>43952</v>
      </c>
      <c r="G160" s="8">
        <v>44408</v>
      </c>
      <c r="H160" s="9">
        <f>D160*E160*15</f>
        <v>46875</v>
      </c>
      <c r="I160" s="25"/>
      <c r="J160" s="80"/>
      <c r="K160" s="11"/>
      <c r="L160" s="21"/>
      <c r="M160" s="21"/>
      <c r="N160" s="18">
        <f t="shared" si="70"/>
        <v>46875</v>
      </c>
      <c r="O160" s="138" t="s">
        <v>79</v>
      </c>
      <c r="P160" s="134" t="s">
        <v>3</v>
      </c>
    </row>
    <row r="161" spans="1:16" ht="22.5" x14ac:dyDescent="0.3">
      <c r="A161" s="1" t="s">
        <v>5</v>
      </c>
      <c r="B161" s="77" t="s">
        <v>20</v>
      </c>
      <c r="C161" s="77" t="s">
        <v>67</v>
      </c>
      <c r="D161" s="5">
        <v>32</v>
      </c>
      <c r="E161" s="28">
        <v>125</v>
      </c>
      <c r="F161" s="7">
        <v>44409</v>
      </c>
      <c r="G161" s="8">
        <v>45046</v>
      </c>
      <c r="H161" s="9">
        <f>D161*E161*21</f>
        <v>84000</v>
      </c>
      <c r="I161" s="25"/>
      <c r="J161" s="78"/>
      <c r="K161" s="11"/>
      <c r="L161" s="21"/>
      <c r="M161" s="21"/>
      <c r="N161" s="18">
        <f t="shared" si="70"/>
        <v>84000</v>
      </c>
      <c r="O161" s="138" t="s">
        <v>100</v>
      </c>
      <c r="P161" s="134" t="s">
        <v>3</v>
      </c>
    </row>
    <row r="162" spans="1:16" ht="27.75" customHeight="1" x14ac:dyDescent="0.3">
      <c r="A162" s="1" t="s">
        <v>5</v>
      </c>
      <c r="B162" s="77" t="s">
        <v>20</v>
      </c>
      <c r="C162" s="77" t="s">
        <v>67</v>
      </c>
      <c r="D162" s="14">
        <v>25</v>
      </c>
      <c r="E162" s="28">
        <v>125</v>
      </c>
      <c r="F162" s="7">
        <v>43952</v>
      </c>
      <c r="G162" s="8">
        <v>44408</v>
      </c>
      <c r="H162" s="9">
        <f>D162*E162*15</f>
        <v>46875</v>
      </c>
      <c r="I162" s="25"/>
      <c r="J162" s="80"/>
      <c r="K162" s="11"/>
      <c r="L162" s="21"/>
      <c r="M162" s="21"/>
      <c r="N162" s="18">
        <f t="shared" si="70"/>
        <v>46875</v>
      </c>
      <c r="O162" s="138" t="s">
        <v>79</v>
      </c>
      <c r="P162" s="134" t="s">
        <v>3</v>
      </c>
    </row>
    <row r="163" spans="1:16" ht="22.5" x14ac:dyDescent="0.3">
      <c r="A163" s="1" t="s">
        <v>5</v>
      </c>
      <c r="B163" s="77" t="s">
        <v>20</v>
      </c>
      <c r="C163" s="77" t="s">
        <v>67</v>
      </c>
      <c r="D163" s="5">
        <v>32</v>
      </c>
      <c r="E163" s="28">
        <v>125</v>
      </c>
      <c r="F163" s="7">
        <v>44409</v>
      </c>
      <c r="G163" s="8">
        <v>45046</v>
      </c>
      <c r="H163" s="9">
        <f>D163*E163*21</f>
        <v>84000</v>
      </c>
      <c r="I163" s="25"/>
      <c r="J163" s="78"/>
      <c r="K163" s="11"/>
      <c r="L163" s="21"/>
      <c r="M163" s="21"/>
      <c r="N163" s="18">
        <f t="shared" si="70"/>
        <v>84000</v>
      </c>
      <c r="O163" s="138" t="s">
        <v>100</v>
      </c>
      <c r="P163" s="134" t="s">
        <v>3</v>
      </c>
    </row>
    <row r="164" spans="1:16" s="79" customFormat="1" ht="26.25" customHeight="1" x14ac:dyDescent="0.2">
      <c r="A164" s="1" t="s">
        <v>5</v>
      </c>
      <c r="B164" s="77" t="s">
        <v>20</v>
      </c>
      <c r="C164" s="77" t="s">
        <v>67</v>
      </c>
      <c r="D164" s="14">
        <v>25</v>
      </c>
      <c r="E164" s="28">
        <v>125</v>
      </c>
      <c r="F164" s="7">
        <v>43952</v>
      </c>
      <c r="G164" s="8">
        <v>44408</v>
      </c>
      <c r="H164" s="9">
        <f>D164*E164*15</f>
        <v>46875</v>
      </c>
      <c r="I164" s="25"/>
      <c r="J164" s="112"/>
      <c r="K164" s="37"/>
      <c r="L164" s="35"/>
      <c r="M164" s="35"/>
      <c r="N164" s="113">
        <f t="shared" si="70"/>
        <v>46875</v>
      </c>
      <c r="O164" s="138" t="s">
        <v>79</v>
      </c>
      <c r="P164" s="134" t="s">
        <v>3</v>
      </c>
    </row>
    <row r="165" spans="1:16" s="79" customFormat="1" ht="22.5" x14ac:dyDescent="0.2">
      <c r="A165" s="1" t="s">
        <v>5</v>
      </c>
      <c r="B165" s="77" t="s">
        <v>20</v>
      </c>
      <c r="C165" s="77" t="s">
        <v>67</v>
      </c>
      <c r="D165" s="5">
        <v>32</v>
      </c>
      <c r="E165" s="28">
        <v>125</v>
      </c>
      <c r="F165" s="7">
        <v>44409</v>
      </c>
      <c r="G165" s="8">
        <v>45046</v>
      </c>
      <c r="H165" s="9">
        <f>D165*E165*21</f>
        <v>84000</v>
      </c>
      <c r="I165" s="25"/>
      <c r="J165" s="78"/>
      <c r="K165" s="11"/>
      <c r="L165" s="21"/>
      <c r="M165" s="21"/>
      <c r="N165" s="18">
        <f t="shared" si="70"/>
        <v>84000</v>
      </c>
      <c r="O165" s="138" t="s">
        <v>100</v>
      </c>
      <c r="P165" s="134" t="s">
        <v>3</v>
      </c>
    </row>
    <row r="166" spans="1:16" ht="27.75" customHeight="1" x14ac:dyDescent="0.3">
      <c r="A166" s="1" t="s">
        <v>5</v>
      </c>
      <c r="B166" s="77" t="s">
        <v>20</v>
      </c>
      <c r="C166" s="77" t="s">
        <v>67</v>
      </c>
      <c r="D166" s="14">
        <v>25</v>
      </c>
      <c r="E166" s="28">
        <v>125</v>
      </c>
      <c r="F166" s="7">
        <v>43952</v>
      </c>
      <c r="G166" s="8">
        <v>44347</v>
      </c>
      <c r="H166" s="9">
        <f>D166*E166*12</f>
        <v>37500</v>
      </c>
      <c r="I166" s="25"/>
      <c r="J166" s="80"/>
      <c r="K166" s="11"/>
      <c r="L166" s="21"/>
      <c r="M166" s="21"/>
      <c r="N166" s="18">
        <f t="shared" si="70"/>
        <v>37500</v>
      </c>
      <c r="O166" s="138" t="s">
        <v>79</v>
      </c>
      <c r="P166" s="134" t="s">
        <v>3</v>
      </c>
    </row>
    <row r="167" spans="1:16" ht="27" customHeight="1" x14ac:dyDescent="0.3">
      <c r="A167" s="1" t="s">
        <v>5</v>
      </c>
      <c r="B167" s="77" t="s">
        <v>20</v>
      </c>
      <c r="C167" s="77" t="s">
        <v>67</v>
      </c>
      <c r="D167" s="14">
        <v>25</v>
      </c>
      <c r="E167" s="28">
        <v>125</v>
      </c>
      <c r="F167" s="7">
        <v>43952</v>
      </c>
      <c r="G167" s="8">
        <v>44408</v>
      </c>
      <c r="H167" s="9">
        <f>D167*E167*15</f>
        <v>46875</v>
      </c>
      <c r="I167" s="25"/>
      <c r="J167" s="80"/>
      <c r="K167" s="11"/>
      <c r="L167" s="21"/>
      <c r="M167" s="21"/>
      <c r="N167" s="18">
        <f t="shared" si="70"/>
        <v>46875</v>
      </c>
      <c r="O167" s="138" t="s">
        <v>79</v>
      </c>
      <c r="P167" s="134" t="s">
        <v>3</v>
      </c>
    </row>
    <row r="168" spans="1:16" ht="22.5" x14ac:dyDescent="0.3">
      <c r="A168" s="1" t="s">
        <v>5</v>
      </c>
      <c r="B168" s="77" t="s">
        <v>20</v>
      </c>
      <c r="C168" s="77" t="s">
        <v>67</v>
      </c>
      <c r="D168" s="5">
        <v>32</v>
      </c>
      <c r="E168" s="28">
        <v>125</v>
      </c>
      <c r="F168" s="7">
        <v>44409</v>
      </c>
      <c r="G168" s="8">
        <v>45046</v>
      </c>
      <c r="H168" s="9">
        <f>D168*E168*21</f>
        <v>84000</v>
      </c>
      <c r="I168" s="25"/>
      <c r="J168" s="78"/>
      <c r="K168" s="11"/>
      <c r="L168" s="21"/>
      <c r="M168" s="21"/>
      <c r="N168" s="18">
        <f t="shared" si="70"/>
        <v>84000</v>
      </c>
      <c r="O168" s="138" t="s">
        <v>100</v>
      </c>
      <c r="P168" s="134" t="s">
        <v>3</v>
      </c>
    </row>
    <row r="169" spans="1:16" ht="26.25" customHeight="1" x14ac:dyDescent="0.3">
      <c r="A169" s="1" t="s">
        <v>5</v>
      </c>
      <c r="B169" s="77" t="s">
        <v>20</v>
      </c>
      <c r="C169" s="77" t="s">
        <v>67</v>
      </c>
      <c r="D169" s="14">
        <v>25</v>
      </c>
      <c r="E169" s="28">
        <v>125</v>
      </c>
      <c r="F169" s="7">
        <v>43952</v>
      </c>
      <c r="G169" s="8">
        <v>44408</v>
      </c>
      <c r="H169" s="9">
        <f>D169*E169*15</f>
        <v>46875</v>
      </c>
      <c r="I169" s="25"/>
      <c r="J169" s="80"/>
      <c r="K169" s="11"/>
      <c r="L169" s="21"/>
      <c r="M169" s="21"/>
      <c r="N169" s="18">
        <f t="shared" si="70"/>
        <v>46875</v>
      </c>
      <c r="O169" s="138" t="s">
        <v>79</v>
      </c>
      <c r="P169" s="134" t="s">
        <v>3</v>
      </c>
    </row>
    <row r="170" spans="1:16" ht="22.5" x14ac:dyDescent="0.3">
      <c r="A170" s="1" t="s">
        <v>5</v>
      </c>
      <c r="B170" s="77" t="s">
        <v>20</v>
      </c>
      <c r="C170" s="77" t="s">
        <v>67</v>
      </c>
      <c r="D170" s="5">
        <v>32</v>
      </c>
      <c r="E170" s="28">
        <v>125</v>
      </c>
      <c r="F170" s="7">
        <v>44409</v>
      </c>
      <c r="G170" s="8">
        <v>45046</v>
      </c>
      <c r="H170" s="9">
        <f>D170*E170*21</f>
        <v>84000</v>
      </c>
      <c r="I170" s="25"/>
      <c r="J170" s="78"/>
      <c r="K170" s="11"/>
      <c r="L170" s="21"/>
      <c r="M170" s="21"/>
      <c r="N170" s="18">
        <f t="shared" si="70"/>
        <v>84000</v>
      </c>
      <c r="O170" s="138" t="s">
        <v>99</v>
      </c>
      <c r="P170" s="134" t="s">
        <v>3</v>
      </c>
    </row>
    <row r="171" spans="1:16" ht="23.25" customHeight="1" x14ac:dyDescent="0.3">
      <c r="A171" s="1" t="s">
        <v>5</v>
      </c>
      <c r="B171" s="58" t="s">
        <v>20</v>
      </c>
      <c r="C171" s="77" t="s">
        <v>67</v>
      </c>
      <c r="D171" s="59">
        <v>25</v>
      </c>
      <c r="E171" s="6">
        <v>125</v>
      </c>
      <c r="F171" s="7">
        <v>43952</v>
      </c>
      <c r="G171" s="8">
        <v>44408</v>
      </c>
      <c r="H171" s="9">
        <f>D171*E171*15</f>
        <v>46875</v>
      </c>
      <c r="I171" s="25"/>
      <c r="J171" s="21"/>
      <c r="K171" s="11"/>
      <c r="L171" s="21"/>
      <c r="M171" s="21"/>
      <c r="N171" s="18">
        <f t="shared" ref="N171" si="73">SUM(H171:M171)</f>
        <v>46875</v>
      </c>
      <c r="O171" s="138" t="s">
        <v>79</v>
      </c>
      <c r="P171" s="134" t="s">
        <v>3</v>
      </c>
    </row>
    <row r="172" spans="1:16" ht="22.5" x14ac:dyDescent="0.3">
      <c r="A172" s="1" t="s">
        <v>5</v>
      </c>
      <c r="B172" s="77" t="s">
        <v>20</v>
      </c>
      <c r="C172" s="77" t="s">
        <v>67</v>
      </c>
      <c r="D172" s="5">
        <v>32</v>
      </c>
      <c r="E172" s="28">
        <v>125</v>
      </c>
      <c r="F172" s="7">
        <v>44409</v>
      </c>
      <c r="G172" s="8">
        <v>45046</v>
      </c>
      <c r="H172" s="9">
        <f>D172*E172*21</f>
        <v>84000</v>
      </c>
      <c r="I172" s="25"/>
      <c r="J172" s="78"/>
      <c r="K172" s="11"/>
      <c r="L172" s="21"/>
      <c r="M172" s="21"/>
      <c r="N172" s="18">
        <f t="shared" ref="N172" si="74">SUM(H172:M172)</f>
        <v>84000</v>
      </c>
      <c r="O172" s="138" t="s">
        <v>100</v>
      </c>
      <c r="P172" s="134" t="s">
        <v>3</v>
      </c>
    </row>
    <row r="173" spans="1:16" ht="24" customHeight="1" x14ac:dyDescent="0.3">
      <c r="A173" s="1" t="s">
        <v>5</v>
      </c>
      <c r="B173" s="58" t="s">
        <v>20</v>
      </c>
      <c r="C173" s="77" t="s">
        <v>67</v>
      </c>
      <c r="D173" s="59">
        <v>25</v>
      </c>
      <c r="E173" s="6">
        <v>125</v>
      </c>
      <c r="F173" s="7">
        <v>43739</v>
      </c>
      <c r="G173" s="8">
        <v>44378</v>
      </c>
      <c r="H173" s="9">
        <f>D173*E173*15</f>
        <v>46875</v>
      </c>
      <c r="I173" s="25"/>
      <c r="J173" s="21"/>
      <c r="K173" s="11"/>
      <c r="L173" s="21"/>
      <c r="M173" s="21"/>
      <c r="N173" s="18">
        <f t="shared" ref="N173:N185" si="75">SUM(H173:M173)</f>
        <v>46875</v>
      </c>
      <c r="O173" s="138" t="s">
        <v>57</v>
      </c>
      <c r="P173" s="134" t="s">
        <v>3</v>
      </c>
    </row>
    <row r="174" spans="1:16" ht="22.5" x14ac:dyDescent="0.3">
      <c r="A174" s="1" t="s">
        <v>5</v>
      </c>
      <c r="B174" s="77" t="s">
        <v>20</v>
      </c>
      <c r="C174" s="77" t="s">
        <v>67</v>
      </c>
      <c r="D174" s="5">
        <v>32</v>
      </c>
      <c r="E174" s="28">
        <v>125</v>
      </c>
      <c r="F174" s="7">
        <v>44409</v>
      </c>
      <c r="G174" s="8">
        <v>45046</v>
      </c>
      <c r="H174" s="9">
        <f>D174*E174*21</f>
        <v>84000</v>
      </c>
      <c r="I174" s="25"/>
      <c r="J174" s="78"/>
      <c r="K174" s="11"/>
      <c r="L174" s="21"/>
      <c r="M174" s="21"/>
      <c r="N174" s="18">
        <f t="shared" ref="N174" si="76">SUM(H174:M174)</f>
        <v>84000</v>
      </c>
      <c r="O174" s="138" t="s">
        <v>100</v>
      </c>
      <c r="P174" s="134" t="s">
        <v>3</v>
      </c>
    </row>
    <row r="175" spans="1:16" ht="24" customHeight="1" x14ac:dyDescent="0.3">
      <c r="A175" s="1" t="s">
        <v>5</v>
      </c>
      <c r="B175" s="58" t="s">
        <v>20</v>
      </c>
      <c r="C175" s="77" t="s">
        <v>67</v>
      </c>
      <c r="D175" s="59">
        <v>32</v>
      </c>
      <c r="E175" s="6">
        <v>125</v>
      </c>
      <c r="F175" s="7">
        <v>44409</v>
      </c>
      <c r="G175" s="8">
        <v>45046</v>
      </c>
      <c r="H175" s="9">
        <f>D175*E175*21</f>
        <v>84000</v>
      </c>
      <c r="I175" s="25"/>
      <c r="J175" s="21"/>
      <c r="K175" s="11"/>
      <c r="L175" s="21"/>
      <c r="M175" s="21"/>
      <c r="N175" s="18">
        <f t="shared" si="75"/>
        <v>84000</v>
      </c>
      <c r="O175" s="138" t="s">
        <v>74</v>
      </c>
      <c r="P175" s="134" t="s">
        <v>3</v>
      </c>
    </row>
    <row r="176" spans="1:16" ht="26.25" customHeight="1" x14ac:dyDescent="0.3">
      <c r="A176" s="1" t="s">
        <v>5</v>
      </c>
      <c r="B176" s="58" t="s">
        <v>20</v>
      </c>
      <c r="C176" s="77" t="s">
        <v>67</v>
      </c>
      <c r="D176" s="59">
        <v>25</v>
      </c>
      <c r="E176" s="6">
        <v>125</v>
      </c>
      <c r="F176" s="7">
        <v>43952</v>
      </c>
      <c r="G176" s="8">
        <v>44408</v>
      </c>
      <c r="H176" s="9">
        <f>D176*E176*14</f>
        <v>43750</v>
      </c>
      <c r="I176" s="25"/>
      <c r="J176" s="21"/>
      <c r="K176" s="11"/>
      <c r="L176" s="21"/>
      <c r="M176" s="21"/>
      <c r="N176" s="18">
        <f t="shared" ref="N176" si="77">SUM(H176:M176)</f>
        <v>43750</v>
      </c>
      <c r="O176" s="138" t="s">
        <v>74</v>
      </c>
      <c r="P176" s="134" t="s">
        <v>3</v>
      </c>
    </row>
    <row r="177" spans="1:16" ht="26.25" customHeight="1" x14ac:dyDescent="0.3">
      <c r="A177" s="1" t="s">
        <v>5</v>
      </c>
      <c r="B177" s="58" t="s">
        <v>20</v>
      </c>
      <c r="C177" s="77" t="s">
        <v>67</v>
      </c>
      <c r="D177" s="59">
        <v>25</v>
      </c>
      <c r="E177" s="6">
        <v>125</v>
      </c>
      <c r="F177" s="7">
        <v>43952</v>
      </c>
      <c r="G177" s="8">
        <v>44408</v>
      </c>
      <c r="H177" s="9">
        <f>D177*E177*15</f>
        <v>46875</v>
      </c>
      <c r="I177" s="25"/>
      <c r="J177" s="21"/>
      <c r="K177" s="11"/>
      <c r="L177" s="21"/>
      <c r="M177" s="21"/>
      <c r="N177" s="18">
        <f t="shared" ref="N177" si="78">SUM(H177:M177)</f>
        <v>46875</v>
      </c>
      <c r="O177" s="138" t="s">
        <v>74</v>
      </c>
      <c r="P177" s="134" t="s">
        <v>3</v>
      </c>
    </row>
    <row r="178" spans="1:16" ht="26.25" customHeight="1" x14ac:dyDescent="0.3">
      <c r="A178" s="1" t="s">
        <v>5</v>
      </c>
      <c r="B178" s="58" t="s">
        <v>20</v>
      </c>
      <c r="C178" s="77" t="s">
        <v>67</v>
      </c>
      <c r="D178" s="59">
        <v>32</v>
      </c>
      <c r="E178" s="6">
        <v>125</v>
      </c>
      <c r="F178" s="7">
        <v>44409</v>
      </c>
      <c r="G178" s="8">
        <v>44802</v>
      </c>
      <c r="H178" s="9">
        <f>D178*E178*13</f>
        <v>52000</v>
      </c>
      <c r="I178" s="25"/>
      <c r="J178" s="21"/>
      <c r="K178" s="11"/>
      <c r="L178" s="21"/>
      <c r="M178" s="21"/>
      <c r="N178" s="18">
        <f t="shared" ref="N178" si="79">SUM(H178:M178)</f>
        <v>52000</v>
      </c>
      <c r="O178" s="138" t="s">
        <v>74</v>
      </c>
      <c r="P178" s="134" t="s">
        <v>3</v>
      </c>
    </row>
    <row r="179" spans="1:16" ht="26.25" customHeight="1" x14ac:dyDescent="0.3">
      <c r="A179" s="1" t="s">
        <v>5</v>
      </c>
      <c r="B179" s="58" t="s">
        <v>20</v>
      </c>
      <c r="C179" s="77" t="s">
        <v>67</v>
      </c>
      <c r="D179" s="59">
        <v>32</v>
      </c>
      <c r="E179" s="6">
        <v>125</v>
      </c>
      <c r="F179" s="7">
        <v>44677</v>
      </c>
      <c r="G179" s="8">
        <v>44834</v>
      </c>
      <c r="H179" s="9">
        <f>D179*E179*5.25</f>
        <v>21000</v>
      </c>
      <c r="I179" s="25"/>
      <c r="J179" s="21"/>
      <c r="K179" s="11"/>
      <c r="L179" s="21"/>
      <c r="M179" s="21"/>
      <c r="N179" s="18">
        <f t="shared" ref="N179" si="80">SUM(H179:M179)</f>
        <v>21000</v>
      </c>
      <c r="O179" s="138" t="s">
        <v>107</v>
      </c>
      <c r="P179" s="134" t="s">
        <v>3</v>
      </c>
    </row>
    <row r="180" spans="1:16" ht="26.25" customHeight="1" x14ac:dyDescent="0.3">
      <c r="A180" s="1" t="s">
        <v>5</v>
      </c>
      <c r="B180" s="58" t="s">
        <v>20</v>
      </c>
      <c r="C180" s="77" t="s">
        <v>67</v>
      </c>
      <c r="D180" s="59">
        <v>25</v>
      </c>
      <c r="E180" s="6">
        <v>125</v>
      </c>
      <c r="F180" s="7">
        <v>43952</v>
      </c>
      <c r="G180" s="8">
        <v>44439</v>
      </c>
      <c r="H180" s="9">
        <f>D180*E180*16</f>
        <v>50000</v>
      </c>
      <c r="I180" s="25"/>
      <c r="J180" s="21"/>
      <c r="K180" s="11"/>
      <c r="L180" s="21"/>
      <c r="M180" s="21"/>
      <c r="N180" s="18">
        <f t="shared" ref="N180" si="81">SUM(H180:M180)</f>
        <v>50000</v>
      </c>
      <c r="O180" s="138" t="s">
        <v>107</v>
      </c>
      <c r="P180" s="134" t="s">
        <v>3</v>
      </c>
    </row>
    <row r="181" spans="1:16" ht="24.75" customHeight="1" x14ac:dyDescent="0.3">
      <c r="A181" s="1" t="s">
        <v>5</v>
      </c>
      <c r="B181" s="77" t="s">
        <v>36</v>
      </c>
      <c r="C181" s="77" t="s">
        <v>67</v>
      </c>
      <c r="D181" s="14">
        <v>32.5</v>
      </c>
      <c r="E181" s="28">
        <v>16</v>
      </c>
      <c r="F181" s="7">
        <v>43831</v>
      </c>
      <c r="G181" s="8">
        <v>45046</v>
      </c>
      <c r="H181" s="9">
        <f>D181*E181*36</f>
        <v>18720</v>
      </c>
      <c r="I181" s="10"/>
      <c r="J181" s="80"/>
      <c r="K181" s="11"/>
      <c r="L181" s="21"/>
      <c r="M181" s="21"/>
      <c r="N181" s="18">
        <f t="shared" si="75"/>
        <v>18720</v>
      </c>
      <c r="O181" s="138" t="s">
        <v>83</v>
      </c>
      <c r="P181" s="134" t="s">
        <v>3</v>
      </c>
    </row>
    <row r="182" spans="1:16" ht="22.5" customHeight="1" x14ac:dyDescent="0.3">
      <c r="A182" s="1" t="s">
        <v>5</v>
      </c>
      <c r="B182" s="34" t="s">
        <v>58</v>
      </c>
      <c r="C182" s="77" t="s">
        <v>67</v>
      </c>
      <c r="D182" s="86">
        <v>32.5</v>
      </c>
      <c r="E182" s="114">
        <v>16</v>
      </c>
      <c r="F182" s="7">
        <v>43831</v>
      </c>
      <c r="G182" s="8">
        <v>44576</v>
      </c>
      <c r="H182" s="9">
        <f>D182*E182*24.5</f>
        <v>12740</v>
      </c>
      <c r="I182" s="10"/>
      <c r="J182" s="78"/>
      <c r="K182" s="11"/>
      <c r="L182" s="21"/>
      <c r="M182" s="21"/>
      <c r="N182" s="18">
        <f t="shared" si="75"/>
        <v>12740</v>
      </c>
      <c r="O182" s="137" t="s">
        <v>80</v>
      </c>
      <c r="P182" s="134" t="s">
        <v>3</v>
      </c>
    </row>
    <row r="183" spans="1:16" ht="26.25" customHeight="1" x14ac:dyDescent="0.3">
      <c r="A183" s="1" t="s">
        <v>5</v>
      </c>
      <c r="B183" s="7" t="s">
        <v>35</v>
      </c>
      <c r="C183" s="77" t="s">
        <v>67</v>
      </c>
      <c r="D183" s="81">
        <v>32.5</v>
      </c>
      <c r="E183" s="38">
        <v>24</v>
      </c>
      <c r="F183" s="7">
        <v>43831</v>
      </c>
      <c r="G183" s="8">
        <v>45046</v>
      </c>
      <c r="H183" s="9">
        <f>D183*E183*36</f>
        <v>28080</v>
      </c>
      <c r="I183" s="10"/>
      <c r="J183" s="21"/>
      <c r="K183" s="11"/>
      <c r="L183" s="21"/>
      <c r="M183" s="21"/>
      <c r="N183" s="18">
        <f t="shared" si="75"/>
        <v>28080</v>
      </c>
      <c r="O183" s="137" t="s">
        <v>83</v>
      </c>
      <c r="P183" s="134" t="s">
        <v>3</v>
      </c>
    </row>
    <row r="184" spans="1:16" ht="24.75" customHeight="1" x14ac:dyDescent="0.3">
      <c r="A184" s="1" t="s">
        <v>5</v>
      </c>
      <c r="B184" s="7" t="s">
        <v>2</v>
      </c>
      <c r="C184" s="77" t="s">
        <v>67</v>
      </c>
      <c r="D184" s="82">
        <v>32.5</v>
      </c>
      <c r="E184" s="38">
        <v>32</v>
      </c>
      <c r="F184" s="7">
        <v>43831</v>
      </c>
      <c r="G184" s="8">
        <v>44348</v>
      </c>
      <c r="H184" s="9">
        <f>D184*E184*18</f>
        <v>18720</v>
      </c>
      <c r="I184" s="10"/>
      <c r="J184" s="56"/>
      <c r="K184" s="11"/>
      <c r="L184" s="21"/>
      <c r="M184" s="21"/>
      <c r="N184" s="18">
        <f t="shared" si="75"/>
        <v>18720</v>
      </c>
      <c r="O184" s="137" t="s">
        <v>80</v>
      </c>
      <c r="P184" s="134" t="s">
        <v>3</v>
      </c>
    </row>
    <row r="185" spans="1:16" ht="24.75" customHeight="1" x14ac:dyDescent="0.3">
      <c r="A185" s="1" t="s">
        <v>5</v>
      </c>
      <c r="B185" s="62" t="s">
        <v>27</v>
      </c>
      <c r="C185" s="77" t="s">
        <v>67</v>
      </c>
      <c r="D185" s="27">
        <v>32.5</v>
      </c>
      <c r="E185" s="24">
        <v>75</v>
      </c>
      <c r="F185" s="7">
        <v>43952</v>
      </c>
      <c r="G185" s="8">
        <v>45046</v>
      </c>
      <c r="H185" s="9">
        <f>D185*E185*36</f>
        <v>87750</v>
      </c>
      <c r="I185" s="10"/>
      <c r="J185" s="83"/>
      <c r="K185" s="11"/>
      <c r="L185" s="13"/>
      <c r="M185" s="13"/>
      <c r="N185" s="18">
        <f t="shared" si="75"/>
        <v>87750</v>
      </c>
      <c r="O185" s="137" t="s">
        <v>82</v>
      </c>
      <c r="P185" s="134" t="s">
        <v>3</v>
      </c>
    </row>
    <row r="186" spans="1:16" ht="24.75" customHeight="1" x14ac:dyDescent="0.3">
      <c r="A186" s="1" t="s">
        <v>5</v>
      </c>
      <c r="B186" s="62" t="s">
        <v>27</v>
      </c>
      <c r="C186" s="77" t="s">
        <v>67</v>
      </c>
      <c r="D186" s="27">
        <v>32.5</v>
      </c>
      <c r="E186" s="24">
        <v>130</v>
      </c>
      <c r="F186" s="7">
        <v>43952</v>
      </c>
      <c r="G186" s="8">
        <v>45046</v>
      </c>
      <c r="H186" s="9">
        <f>D186*E186*36</f>
        <v>152100</v>
      </c>
      <c r="I186" s="10"/>
      <c r="J186" s="84"/>
      <c r="K186" s="11"/>
      <c r="L186" s="13"/>
      <c r="M186" s="13"/>
      <c r="N186" s="18">
        <f t="shared" si="70"/>
        <v>152100</v>
      </c>
      <c r="O186" s="137" t="s">
        <v>82</v>
      </c>
      <c r="P186" s="134" t="s">
        <v>3</v>
      </c>
    </row>
    <row r="187" spans="1:16" ht="24" customHeight="1" x14ac:dyDescent="0.3">
      <c r="A187" s="1" t="s">
        <v>5</v>
      </c>
      <c r="B187" s="62" t="s">
        <v>27</v>
      </c>
      <c r="C187" s="77" t="s">
        <v>67</v>
      </c>
      <c r="D187" s="27">
        <v>32.5</v>
      </c>
      <c r="E187" s="24">
        <v>130</v>
      </c>
      <c r="F187" s="7">
        <v>43952</v>
      </c>
      <c r="G187" s="8">
        <v>45046</v>
      </c>
      <c r="H187" s="9">
        <f>D187*E187*36</f>
        <v>152100</v>
      </c>
      <c r="I187" s="10"/>
      <c r="J187" s="21"/>
      <c r="K187" s="11"/>
      <c r="L187" s="21"/>
      <c r="M187" s="21"/>
      <c r="N187" s="18">
        <f t="shared" ref="N187" si="82">SUM(H187:M187)</f>
        <v>152100</v>
      </c>
      <c r="O187" s="137" t="s">
        <v>28</v>
      </c>
      <c r="P187" s="134" t="s">
        <v>3</v>
      </c>
    </row>
    <row r="188" spans="1:16" ht="35.25" x14ac:dyDescent="0.3">
      <c r="A188" s="1" t="s">
        <v>5</v>
      </c>
      <c r="B188" s="7" t="s">
        <v>38</v>
      </c>
      <c r="C188" s="77" t="s">
        <v>67</v>
      </c>
      <c r="D188" s="27">
        <v>32.5</v>
      </c>
      <c r="E188" s="38">
        <v>11</v>
      </c>
      <c r="F188" s="7">
        <v>43952</v>
      </c>
      <c r="G188" s="8">
        <v>43951</v>
      </c>
      <c r="H188" s="9">
        <f>D188*E188*4</f>
        <v>1430</v>
      </c>
      <c r="I188" s="10"/>
      <c r="J188" s="88"/>
      <c r="K188" s="115"/>
      <c r="L188" s="13"/>
      <c r="M188" s="13"/>
      <c r="N188" s="18">
        <f t="shared" si="70"/>
        <v>1430</v>
      </c>
      <c r="O188" s="137" t="s">
        <v>37</v>
      </c>
      <c r="P188" s="134" t="s">
        <v>3</v>
      </c>
    </row>
    <row r="189" spans="1:16" ht="24" customHeight="1" x14ac:dyDescent="0.3">
      <c r="A189" s="1" t="s">
        <v>5</v>
      </c>
      <c r="B189" s="85" t="s">
        <v>40</v>
      </c>
      <c r="C189" s="77" t="s">
        <v>67</v>
      </c>
      <c r="D189" s="86">
        <v>32.5</v>
      </c>
      <c r="E189" s="87">
        <v>80</v>
      </c>
      <c r="F189" s="7">
        <v>43952</v>
      </c>
      <c r="G189" s="8">
        <v>45046</v>
      </c>
      <c r="H189" s="9">
        <f>D189*E189*36</f>
        <v>93600</v>
      </c>
      <c r="I189" s="10"/>
      <c r="J189" s="88"/>
      <c r="K189" s="29"/>
      <c r="L189" s="13"/>
      <c r="M189" s="13"/>
      <c r="N189" s="18">
        <f t="shared" si="70"/>
        <v>93600</v>
      </c>
      <c r="O189" s="137" t="s">
        <v>92</v>
      </c>
      <c r="P189" s="134" t="s">
        <v>3</v>
      </c>
    </row>
    <row r="190" spans="1:16" ht="26.25" customHeight="1" x14ac:dyDescent="0.3">
      <c r="A190" s="1" t="s">
        <v>5</v>
      </c>
      <c r="B190" s="128" t="s">
        <v>30</v>
      </c>
      <c r="C190" s="77" t="s">
        <v>67</v>
      </c>
      <c r="D190" s="27">
        <v>32.5</v>
      </c>
      <c r="E190" s="28">
        <v>120</v>
      </c>
      <c r="F190" s="7">
        <v>43952</v>
      </c>
      <c r="G190" s="8">
        <v>45046</v>
      </c>
      <c r="H190" s="9">
        <f>D190*E190*36</f>
        <v>140400</v>
      </c>
      <c r="I190" s="10"/>
      <c r="J190" s="32"/>
      <c r="K190" s="33"/>
      <c r="L190" s="21"/>
      <c r="M190" s="21"/>
      <c r="N190" s="18">
        <f t="shared" ref="N190" si="83">SUM(H190:M190)</f>
        <v>140400</v>
      </c>
      <c r="O190" s="137" t="s">
        <v>33</v>
      </c>
      <c r="P190" s="134" t="s">
        <v>3</v>
      </c>
    </row>
    <row r="191" spans="1:16" ht="25.5" customHeight="1" x14ac:dyDescent="0.3">
      <c r="A191" s="1" t="s">
        <v>5</v>
      </c>
      <c r="B191" s="7" t="s">
        <v>43</v>
      </c>
      <c r="C191" s="77" t="s">
        <v>67</v>
      </c>
      <c r="D191" s="27">
        <v>32.5</v>
      </c>
      <c r="E191" s="38">
        <v>15</v>
      </c>
      <c r="F191" s="7">
        <v>43952</v>
      </c>
      <c r="G191" s="8">
        <v>44325</v>
      </c>
      <c r="H191" s="9">
        <f>D191*E191*12.25</f>
        <v>5971.875</v>
      </c>
      <c r="I191" s="10"/>
      <c r="J191" s="39"/>
      <c r="K191" s="40"/>
      <c r="L191" s="21"/>
      <c r="M191" s="21"/>
      <c r="N191" s="18">
        <f t="shared" ref="N191:N192" si="84">SUM(H191:M191)</f>
        <v>5971.875</v>
      </c>
      <c r="O191" s="137" t="s">
        <v>44</v>
      </c>
      <c r="P191" s="134" t="s">
        <v>3</v>
      </c>
    </row>
    <row r="192" spans="1:16" ht="26.25" customHeight="1" x14ac:dyDescent="0.3">
      <c r="A192" s="1" t="s">
        <v>5</v>
      </c>
      <c r="B192" s="7" t="s">
        <v>43</v>
      </c>
      <c r="C192" s="77" t="s">
        <v>67</v>
      </c>
      <c r="D192" s="27">
        <v>32.5</v>
      </c>
      <c r="E192" s="38">
        <v>15</v>
      </c>
      <c r="F192" s="7">
        <v>43952</v>
      </c>
      <c r="G192" s="8">
        <v>44377</v>
      </c>
      <c r="H192" s="9">
        <f>D192*E192*14</f>
        <v>6825</v>
      </c>
      <c r="I192" s="10"/>
      <c r="J192" s="39"/>
      <c r="K192" s="40"/>
      <c r="L192" s="21"/>
      <c r="M192" s="21"/>
      <c r="N192" s="18">
        <f t="shared" si="84"/>
        <v>6825</v>
      </c>
      <c r="O192" s="137" t="s">
        <v>44</v>
      </c>
      <c r="P192" s="134" t="s">
        <v>3</v>
      </c>
    </row>
    <row r="193" spans="1:16" ht="24" customHeight="1" x14ac:dyDescent="0.3">
      <c r="A193" s="1" t="s">
        <v>5</v>
      </c>
      <c r="B193" s="7" t="s">
        <v>43</v>
      </c>
      <c r="C193" s="77" t="s">
        <v>67</v>
      </c>
      <c r="D193" s="27">
        <v>32.5</v>
      </c>
      <c r="E193" s="38">
        <v>15</v>
      </c>
      <c r="F193" s="7">
        <v>44423</v>
      </c>
      <c r="G193" s="8">
        <v>45046</v>
      </c>
      <c r="H193" s="9">
        <f>D193*E193*20.5</f>
        <v>9993.75</v>
      </c>
      <c r="I193" s="10"/>
      <c r="J193" s="39"/>
      <c r="K193" s="40"/>
      <c r="L193" s="21"/>
      <c r="M193" s="21"/>
      <c r="N193" s="18">
        <f t="shared" ref="N193" si="85">SUM(H193:M193)</f>
        <v>9993.75</v>
      </c>
      <c r="O193" s="137" t="s">
        <v>103</v>
      </c>
      <c r="P193" s="134" t="s">
        <v>3</v>
      </c>
    </row>
    <row r="194" spans="1:16" ht="24.75" customHeight="1" x14ac:dyDescent="0.3">
      <c r="A194" s="1" t="s">
        <v>5</v>
      </c>
      <c r="B194" s="129" t="s">
        <v>0</v>
      </c>
      <c r="C194" s="77" t="s">
        <v>67</v>
      </c>
      <c r="D194" s="14">
        <v>20</v>
      </c>
      <c r="E194" s="80">
        <v>107</v>
      </c>
      <c r="F194" s="7">
        <v>43952</v>
      </c>
      <c r="G194" s="8">
        <v>44585</v>
      </c>
      <c r="H194" s="9">
        <f>D194*E194*20.75</f>
        <v>44405</v>
      </c>
      <c r="I194" s="25"/>
      <c r="J194" s="78"/>
      <c r="K194" s="11"/>
      <c r="L194" s="21"/>
      <c r="M194" s="21"/>
      <c r="N194" s="18">
        <f t="shared" ref="N194:N211" si="86">SUM(H194:M194)</f>
        <v>44405</v>
      </c>
      <c r="O194" s="137" t="s">
        <v>86</v>
      </c>
      <c r="P194" s="134" t="s">
        <v>3</v>
      </c>
    </row>
    <row r="195" spans="1:16" ht="26.25" customHeight="1" x14ac:dyDescent="0.3">
      <c r="A195" s="1" t="s">
        <v>5</v>
      </c>
      <c r="B195" s="120" t="s">
        <v>0</v>
      </c>
      <c r="C195" s="77" t="s">
        <v>67</v>
      </c>
      <c r="D195" s="5">
        <v>20</v>
      </c>
      <c r="E195" s="80">
        <v>80</v>
      </c>
      <c r="F195" s="7">
        <v>44682</v>
      </c>
      <c r="G195" s="8">
        <v>45046</v>
      </c>
      <c r="H195" s="9">
        <f>D195*E195*36</f>
        <v>57600</v>
      </c>
      <c r="I195" s="25"/>
      <c r="J195" s="78"/>
      <c r="K195" s="11">
        <f t="shared" ref="K195:K201" si="87">+H195*2%</f>
        <v>1152</v>
      </c>
      <c r="L195" s="21"/>
      <c r="M195" s="21"/>
      <c r="N195" s="18">
        <f t="shared" si="86"/>
        <v>58752</v>
      </c>
      <c r="O195" s="137" t="s">
        <v>86</v>
      </c>
      <c r="P195" s="134" t="s">
        <v>3</v>
      </c>
    </row>
    <row r="196" spans="1:16" ht="26.25" customHeight="1" x14ac:dyDescent="0.3">
      <c r="A196" s="1" t="s">
        <v>5</v>
      </c>
      <c r="B196" s="120" t="s">
        <v>0</v>
      </c>
      <c r="C196" s="77" t="s">
        <v>67</v>
      </c>
      <c r="D196" s="5">
        <v>20</v>
      </c>
      <c r="E196" s="80">
        <v>107</v>
      </c>
      <c r="F196" s="7">
        <v>43952</v>
      </c>
      <c r="G196" s="8">
        <v>44326</v>
      </c>
      <c r="H196" s="9">
        <f>D196*E196*12.5</f>
        <v>26750</v>
      </c>
      <c r="I196" s="25"/>
      <c r="J196" s="78"/>
      <c r="K196" s="11">
        <f t="shared" si="87"/>
        <v>535</v>
      </c>
      <c r="L196" s="21"/>
      <c r="M196" s="21"/>
      <c r="N196" s="18">
        <f t="shared" si="86"/>
        <v>27285</v>
      </c>
      <c r="O196" s="137" t="s">
        <v>86</v>
      </c>
      <c r="P196" s="134" t="s">
        <v>3</v>
      </c>
    </row>
    <row r="197" spans="1:16" ht="27" customHeight="1" x14ac:dyDescent="0.3">
      <c r="A197" s="1" t="s">
        <v>5</v>
      </c>
      <c r="B197" s="35" t="s">
        <v>0</v>
      </c>
      <c r="C197" s="77" t="s">
        <v>67</v>
      </c>
      <c r="D197" s="5">
        <v>20</v>
      </c>
      <c r="E197" s="80">
        <v>80</v>
      </c>
      <c r="F197" s="7">
        <v>43952</v>
      </c>
      <c r="G197" s="8">
        <v>45046</v>
      </c>
      <c r="H197" s="9">
        <f>D197*E197*36</f>
        <v>57600</v>
      </c>
      <c r="I197" s="25"/>
      <c r="J197" s="78"/>
      <c r="K197" s="11">
        <f t="shared" si="87"/>
        <v>1152</v>
      </c>
      <c r="L197" s="21"/>
      <c r="M197" s="21"/>
      <c r="N197" s="18">
        <f t="shared" si="86"/>
        <v>58752</v>
      </c>
      <c r="O197" s="137" t="s">
        <v>86</v>
      </c>
      <c r="P197" s="134" t="s">
        <v>3</v>
      </c>
    </row>
    <row r="198" spans="1:16" ht="23.25" customHeight="1" x14ac:dyDescent="0.3">
      <c r="A198" s="1" t="s">
        <v>5</v>
      </c>
      <c r="B198" s="35" t="s">
        <v>0</v>
      </c>
      <c r="C198" s="77" t="s">
        <v>67</v>
      </c>
      <c r="D198" s="5">
        <v>20</v>
      </c>
      <c r="E198" s="80">
        <v>80</v>
      </c>
      <c r="F198" s="7">
        <v>43952</v>
      </c>
      <c r="G198" s="8">
        <v>44561</v>
      </c>
      <c r="H198" s="9">
        <f>D198*E198*20</f>
        <v>32000</v>
      </c>
      <c r="I198" s="25"/>
      <c r="J198" s="78"/>
      <c r="K198" s="11">
        <f t="shared" si="87"/>
        <v>640</v>
      </c>
      <c r="L198" s="21"/>
      <c r="M198" s="21"/>
      <c r="N198" s="18">
        <f t="shared" si="86"/>
        <v>32640</v>
      </c>
      <c r="O198" s="137" t="s">
        <v>86</v>
      </c>
      <c r="P198" s="134" t="s">
        <v>3</v>
      </c>
    </row>
    <row r="199" spans="1:16" ht="23.25" customHeight="1" x14ac:dyDescent="0.3">
      <c r="A199" s="1" t="s">
        <v>5</v>
      </c>
      <c r="B199" s="35" t="s">
        <v>0</v>
      </c>
      <c r="C199" s="77" t="s">
        <v>67</v>
      </c>
      <c r="D199" s="5">
        <v>20</v>
      </c>
      <c r="E199" s="80">
        <v>107</v>
      </c>
      <c r="F199" s="7">
        <v>43952</v>
      </c>
      <c r="G199" s="8">
        <v>45046</v>
      </c>
      <c r="H199" s="9">
        <f>D199*E199*36</f>
        <v>77040</v>
      </c>
      <c r="I199" s="25"/>
      <c r="J199" s="78"/>
      <c r="K199" s="11">
        <f t="shared" si="87"/>
        <v>1540.8</v>
      </c>
      <c r="L199" s="21"/>
      <c r="M199" s="21"/>
      <c r="N199" s="18">
        <f t="shared" si="86"/>
        <v>78580.800000000003</v>
      </c>
      <c r="O199" s="137" t="s">
        <v>86</v>
      </c>
      <c r="P199" s="134" t="s">
        <v>3</v>
      </c>
    </row>
    <row r="200" spans="1:16" ht="35.25" x14ac:dyDescent="0.3">
      <c r="A200" s="1" t="s">
        <v>5</v>
      </c>
      <c r="B200" s="35" t="s">
        <v>0</v>
      </c>
      <c r="C200" s="77" t="s">
        <v>67</v>
      </c>
      <c r="D200" s="5">
        <v>20</v>
      </c>
      <c r="E200" s="24">
        <v>40</v>
      </c>
      <c r="F200" s="7">
        <v>43466</v>
      </c>
      <c r="G200" s="8">
        <v>43890</v>
      </c>
      <c r="H200" s="9">
        <f>D200*E200*14</f>
        <v>11200</v>
      </c>
      <c r="I200" s="25"/>
      <c r="J200" s="6"/>
      <c r="K200" s="11">
        <f t="shared" si="87"/>
        <v>224</v>
      </c>
      <c r="L200" s="21"/>
      <c r="M200" s="21"/>
      <c r="N200" s="18">
        <f t="shared" si="86"/>
        <v>11424</v>
      </c>
      <c r="O200" s="137" t="s">
        <v>23</v>
      </c>
      <c r="P200" s="134" t="s">
        <v>3</v>
      </c>
    </row>
    <row r="201" spans="1:16" ht="20.25" customHeight="1" x14ac:dyDescent="0.3">
      <c r="A201" s="1" t="s">
        <v>5</v>
      </c>
      <c r="B201" s="35" t="s">
        <v>0</v>
      </c>
      <c r="C201" s="77" t="s">
        <v>67</v>
      </c>
      <c r="D201" s="5">
        <v>20</v>
      </c>
      <c r="E201" s="80">
        <v>80</v>
      </c>
      <c r="F201" s="7">
        <v>43952</v>
      </c>
      <c r="G201" s="8">
        <v>45046</v>
      </c>
      <c r="H201" s="9">
        <f>D201*E201*36</f>
        <v>57600</v>
      </c>
      <c r="I201" s="25"/>
      <c r="J201" s="78"/>
      <c r="K201" s="11">
        <f t="shared" si="87"/>
        <v>1152</v>
      </c>
      <c r="L201" s="21"/>
      <c r="M201" s="21"/>
      <c r="N201" s="18">
        <f t="shared" ref="N201" si="88">SUM(H201:M201)</f>
        <v>58752</v>
      </c>
      <c r="O201" s="137" t="s">
        <v>24</v>
      </c>
      <c r="P201" s="134" t="s">
        <v>3</v>
      </c>
    </row>
    <row r="202" spans="1:16" ht="25.5" customHeight="1" x14ac:dyDescent="0.3">
      <c r="A202" s="1" t="s">
        <v>5</v>
      </c>
      <c r="B202" s="35" t="s">
        <v>0</v>
      </c>
      <c r="C202" s="77" t="s">
        <v>67</v>
      </c>
      <c r="D202" s="5">
        <v>20</v>
      </c>
      <c r="E202" s="80">
        <v>80</v>
      </c>
      <c r="F202" s="7">
        <v>43952</v>
      </c>
      <c r="G202" s="8">
        <v>45046</v>
      </c>
      <c r="H202" s="9">
        <f>D202*E202*36</f>
        <v>57600</v>
      </c>
      <c r="I202" s="25"/>
      <c r="J202" s="78"/>
      <c r="K202" s="11">
        <f t="shared" ref="K202" si="89">+H202*2%</f>
        <v>1152</v>
      </c>
      <c r="L202" s="21"/>
      <c r="M202" s="21"/>
      <c r="N202" s="18">
        <f t="shared" ref="N202" si="90">SUM(H202:M202)</f>
        <v>58752</v>
      </c>
      <c r="O202" s="137" t="s">
        <v>24</v>
      </c>
      <c r="P202" s="134" t="s">
        <v>3</v>
      </c>
    </row>
    <row r="203" spans="1:16" ht="24.75" customHeight="1" x14ac:dyDescent="0.3">
      <c r="A203" s="1" t="s">
        <v>5</v>
      </c>
      <c r="B203" s="60" t="s">
        <v>55</v>
      </c>
      <c r="C203" s="77" t="s">
        <v>67</v>
      </c>
      <c r="D203" s="89">
        <v>17.239999999999998</v>
      </c>
      <c r="E203" s="90">
        <v>134</v>
      </c>
      <c r="F203" s="7">
        <v>43952</v>
      </c>
      <c r="G203" s="8">
        <v>44656</v>
      </c>
      <c r="H203" s="9">
        <f>D203*E203*23</f>
        <v>53133.679999999993</v>
      </c>
      <c r="I203" s="91">
        <f t="shared" ref="I203:I204" si="91">H203*4%</f>
        <v>2125.3471999999997</v>
      </c>
      <c r="J203" s="92"/>
      <c r="K203" s="40"/>
      <c r="L203" s="21"/>
      <c r="M203" s="21"/>
      <c r="N203" s="18">
        <f t="shared" si="86"/>
        <v>55259.02719999999</v>
      </c>
      <c r="O203" s="137" t="s">
        <v>93</v>
      </c>
      <c r="P203" s="134" t="s">
        <v>3</v>
      </c>
    </row>
    <row r="204" spans="1:16" ht="22.5" x14ac:dyDescent="0.3">
      <c r="A204" s="1" t="s">
        <v>5</v>
      </c>
      <c r="B204" s="60" t="s">
        <v>55</v>
      </c>
      <c r="C204" s="77" t="s">
        <v>67</v>
      </c>
      <c r="D204" s="89">
        <v>17.239999999999998</v>
      </c>
      <c r="E204" s="90">
        <v>134</v>
      </c>
      <c r="F204" s="7">
        <v>43952</v>
      </c>
      <c r="G204" s="8">
        <v>44348</v>
      </c>
      <c r="H204" s="9">
        <f>D204*E204*13</f>
        <v>30032.079999999998</v>
      </c>
      <c r="I204" s="91">
        <f t="shared" si="91"/>
        <v>1201.2831999999999</v>
      </c>
      <c r="J204" s="92"/>
      <c r="K204" s="40"/>
      <c r="L204" s="21"/>
      <c r="M204" s="21"/>
      <c r="N204" s="18">
        <f>SUM(H204:M204)</f>
        <v>31233.3632</v>
      </c>
      <c r="O204" s="137" t="s">
        <v>56</v>
      </c>
      <c r="P204" s="134" t="s">
        <v>3</v>
      </c>
    </row>
    <row r="205" spans="1:16" ht="30.75" customHeight="1" x14ac:dyDescent="0.3">
      <c r="A205" s="1" t="s">
        <v>5</v>
      </c>
      <c r="B205" s="60" t="s">
        <v>55</v>
      </c>
      <c r="C205" s="77" t="s">
        <v>67</v>
      </c>
      <c r="D205" s="89">
        <v>17.239999999999998</v>
      </c>
      <c r="E205" s="90">
        <v>134</v>
      </c>
      <c r="F205" s="7">
        <v>43862</v>
      </c>
      <c r="G205" s="8">
        <v>44957</v>
      </c>
      <c r="H205" s="9">
        <f>D205*E205*36</f>
        <v>83165.759999999995</v>
      </c>
      <c r="I205" s="91">
        <f>H205*4%</f>
        <v>3326.6304</v>
      </c>
      <c r="J205" s="92"/>
      <c r="K205" s="40"/>
      <c r="L205" s="21"/>
      <c r="M205" s="21"/>
      <c r="N205" s="18">
        <f>SUM(H205:M205)</f>
        <v>86492.390399999989</v>
      </c>
      <c r="O205" s="137" t="s">
        <v>56</v>
      </c>
      <c r="P205" s="134" t="s">
        <v>3</v>
      </c>
    </row>
    <row r="206" spans="1:16" ht="26.25" customHeight="1" x14ac:dyDescent="0.3">
      <c r="A206" s="1" t="s">
        <v>5</v>
      </c>
      <c r="B206" s="60" t="s">
        <v>47</v>
      </c>
      <c r="C206" s="77" t="s">
        <v>67</v>
      </c>
      <c r="D206" s="66">
        <v>17.239999999999998</v>
      </c>
      <c r="E206" s="68">
        <v>46</v>
      </c>
      <c r="F206" s="7">
        <v>43466</v>
      </c>
      <c r="G206" s="8">
        <v>43951</v>
      </c>
      <c r="H206" s="9">
        <f>D206*E206*16</f>
        <v>12688.64</v>
      </c>
      <c r="I206" s="91">
        <f>H206*4%</f>
        <v>507.54559999999998</v>
      </c>
      <c r="J206" s="45"/>
      <c r="K206" s="11"/>
      <c r="L206" s="21"/>
      <c r="M206" s="21"/>
      <c r="N206" s="18">
        <f t="shared" si="86"/>
        <v>13196.185599999999</v>
      </c>
      <c r="O206" s="137" t="s">
        <v>59</v>
      </c>
      <c r="P206" s="134" t="s">
        <v>3</v>
      </c>
    </row>
    <row r="207" spans="1:16" ht="27.75" customHeight="1" x14ac:dyDescent="0.3">
      <c r="A207" s="1" t="s">
        <v>5</v>
      </c>
      <c r="B207" s="60" t="s">
        <v>47</v>
      </c>
      <c r="C207" s="77" t="s">
        <v>67</v>
      </c>
      <c r="D207" s="66">
        <v>17.239999999999998</v>
      </c>
      <c r="E207" s="68">
        <v>46</v>
      </c>
      <c r="F207" s="7">
        <v>43542</v>
      </c>
      <c r="G207" s="8">
        <v>43951</v>
      </c>
      <c r="H207" s="9">
        <f>D207*E207*12.5</f>
        <v>9913</v>
      </c>
      <c r="I207" s="91">
        <f>H207*4%</f>
        <v>396.52</v>
      </c>
      <c r="J207" s="70"/>
      <c r="K207" s="116"/>
      <c r="L207" s="32"/>
      <c r="M207" s="32"/>
      <c r="N207" s="18">
        <f t="shared" si="86"/>
        <v>10309.52</v>
      </c>
      <c r="O207" s="137" t="s">
        <v>50</v>
      </c>
      <c r="P207" s="134" t="s">
        <v>3</v>
      </c>
    </row>
    <row r="208" spans="1:16" ht="22.5" x14ac:dyDescent="0.3">
      <c r="A208" s="1" t="s">
        <v>5</v>
      </c>
      <c r="B208" s="60" t="s">
        <v>47</v>
      </c>
      <c r="C208" s="77" t="s">
        <v>67</v>
      </c>
      <c r="D208" s="66">
        <v>17.34</v>
      </c>
      <c r="E208" s="68">
        <v>134</v>
      </c>
      <c r="F208" s="7">
        <v>43952</v>
      </c>
      <c r="G208" s="8">
        <v>43996</v>
      </c>
      <c r="H208" s="9">
        <f>D208*E208*13.5</f>
        <v>31368.059999999998</v>
      </c>
      <c r="I208" s="91">
        <f>H208*4%</f>
        <v>1254.7223999999999</v>
      </c>
      <c r="J208" s="70"/>
      <c r="K208" s="116"/>
      <c r="L208" s="32"/>
      <c r="M208" s="32"/>
      <c r="N208" s="18">
        <f t="shared" ref="N208" si="92">SUM(H208:M208)</f>
        <v>32622.782399999996</v>
      </c>
      <c r="O208" s="137" t="s">
        <v>49</v>
      </c>
      <c r="P208" s="134" t="s">
        <v>3</v>
      </c>
    </row>
    <row r="209" spans="1:16" ht="27" customHeight="1" x14ac:dyDescent="0.3">
      <c r="A209" s="1" t="s">
        <v>5</v>
      </c>
      <c r="B209" s="93" t="s">
        <v>1</v>
      </c>
      <c r="C209" s="77" t="s">
        <v>67</v>
      </c>
      <c r="D209" s="27">
        <v>20</v>
      </c>
      <c r="E209" s="94">
        <v>46</v>
      </c>
      <c r="F209" s="7">
        <v>43952</v>
      </c>
      <c r="G209" s="8">
        <v>44104</v>
      </c>
      <c r="H209" s="9">
        <f>D209*E209*5</f>
        <v>4600</v>
      </c>
      <c r="I209" s="25"/>
      <c r="J209" s="48">
        <f>H209*4%</f>
        <v>184</v>
      </c>
      <c r="K209" s="95"/>
      <c r="L209" s="70"/>
      <c r="M209" s="70"/>
      <c r="N209" s="18">
        <f t="shared" si="86"/>
        <v>4784</v>
      </c>
      <c r="O209" s="137" t="s">
        <v>64</v>
      </c>
      <c r="P209" s="134" t="s">
        <v>3</v>
      </c>
    </row>
    <row r="210" spans="1:16" ht="26.25" customHeight="1" x14ac:dyDescent="0.3">
      <c r="A210" s="1" t="s">
        <v>5</v>
      </c>
      <c r="B210" s="42" t="s">
        <v>1</v>
      </c>
      <c r="C210" s="77" t="s">
        <v>67</v>
      </c>
      <c r="D210" s="27">
        <v>20</v>
      </c>
      <c r="E210" s="94">
        <v>46</v>
      </c>
      <c r="F210" s="7">
        <v>43952</v>
      </c>
      <c r="G210" s="8">
        <v>44043</v>
      </c>
      <c r="H210" s="9">
        <f>D210*E210*3</f>
        <v>2760</v>
      </c>
      <c r="I210" s="25"/>
      <c r="J210" s="48">
        <f>H210*4%</f>
        <v>110.4</v>
      </c>
      <c r="K210" s="44"/>
      <c r="L210" s="45"/>
      <c r="M210" s="70"/>
      <c r="N210" s="18">
        <f t="shared" si="86"/>
        <v>2870.4</v>
      </c>
      <c r="O210" s="137" t="s">
        <v>64</v>
      </c>
      <c r="P210" s="134" t="s">
        <v>3</v>
      </c>
    </row>
    <row r="211" spans="1:16" ht="28.5" customHeight="1" x14ac:dyDescent="0.3">
      <c r="A211" s="1" t="s">
        <v>5</v>
      </c>
      <c r="B211" s="12" t="s">
        <v>60</v>
      </c>
      <c r="C211" s="77" t="s">
        <v>67</v>
      </c>
      <c r="D211" s="117">
        <v>17.239999999999998</v>
      </c>
      <c r="E211" s="28">
        <v>136</v>
      </c>
      <c r="F211" s="7">
        <v>43952</v>
      </c>
      <c r="G211" s="8">
        <v>45046</v>
      </c>
      <c r="H211" s="9">
        <f>D211*E211*36</f>
        <v>84407.039999999994</v>
      </c>
      <c r="I211" s="106"/>
      <c r="J211" s="56"/>
      <c r="K211" s="11"/>
      <c r="L211" s="21"/>
      <c r="M211" s="25">
        <f>H211*4%</f>
        <v>3376.2815999999998</v>
      </c>
      <c r="N211" s="18">
        <f t="shared" si="86"/>
        <v>87783.321599999996</v>
      </c>
      <c r="O211" s="137" t="s">
        <v>94</v>
      </c>
      <c r="P211" s="134" t="s">
        <v>3</v>
      </c>
    </row>
    <row r="212" spans="1:16" ht="24.75" customHeight="1" x14ac:dyDescent="0.3">
      <c r="A212" s="1" t="s">
        <v>5</v>
      </c>
      <c r="B212" s="12" t="s">
        <v>60</v>
      </c>
      <c r="C212" s="77" t="s">
        <v>67</v>
      </c>
      <c r="D212" s="5">
        <v>17.239999999999998</v>
      </c>
      <c r="E212" s="28">
        <v>136</v>
      </c>
      <c r="F212" s="7">
        <v>43952</v>
      </c>
      <c r="G212" s="8">
        <v>45046</v>
      </c>
      <c r="H212" s="9">
        <f>D212*E212*36</f>
        <v>84407.039999999994</v>
      </c>
      <c r="I212" s="106"/>
      <c r="J212" s="56"/>
      <c r="K212" s="11"/>
      <c r="L212" s="21"/>
      <c r="M212" s="25">
        <f>H212*4%</f>
        <v>3376.2815999999998</v>
      </c>
      <c r="N212" s="18">
        <f t="shared" ref="N212" si="93">SUM(H212:M212)</f>
        <v>87783.321599999996</v>
      </c>
      <c r="O212" s="137" t="s">
        <v>94</v>
      </c>
      <c r="P212" s="134" t="s">
        <v>3</v>
      </c>
    </row>
    <row r="213" spans="1:16" ht="25.5" customHeight="1" x14ac:dyDescent="0.3">
      <c r="A213" s="1" t="s">
        <v>5</v>
      </c>
      <c r="B213" s="96" t="s">
        <v>60</v>
      </c>
      <c r="C213" s="77" t="s">
        <v>67</v>
      </c>
      <c r="D213" s="97">
        <v>17.239999999999998</v>
      </c>
      <c r="E213" s="98">
        <v>136</v>
      </c>
      <c r="F213" s="7">
        <v>44562</v>
      </c>
      <c r="G213" s="8">
        <v>45046</v>
      </c>
      <c r="H213" s="9">
        <f>D213*E213*16</f>
        <v>37514.239999999998</v>
      </c>
      <c r="I213" s="106"/>
      <c r="J213" s="56"/>
      <c r="K213" s="11"/>
      <c r="L213" s="21"/>
      <c r="M213" s="25">
        <f>H213*4%</f>
        <v>1500.5696</v>
      </c>
      <c r="N213" s="18">
        <f t="shared" ref="N213" si="94">SUM(H213:M213)</f>
        <v>39014.809600000001</v>
      </c>
      <c r="O213" s="137" t="s">
        <v>113</v>
      </c>
      <c r="P213" s="134" t="s">
        <v>3</v>
      </c>
    </row>
    <row r="214" spans="1:16" ht="37.5" customHeight="1" x14ac:dyDescent="0.3">
      <c r="A214" s="1" t="s">
        <v>5</v>
      </c>
      <c r="B214" s="12" t="s">
        <v>60</v>
      </c>
      <c r="C214" s="77" t="s">
        <v>67</v>
      </c>
      <c r="D214" s="5">
        <v>17.239999999999998</v>
      </c>
      <c r="E214" s="28">
        <v>136</v>
      </c>
      <c r="F214" s="7">
        <v>43831</v>
      </c>
      <c r="G214" s="8">
        <v>44104</v>
      </c>
      <c r="H214" s="9">
        <f>D214*E214*9</f>
        <v>21101.759999999998</v>
      </c>
      <c r="I214" s="106"/>
      <c r="J214" s="56"/>
      <c r="K214" s="11"/>
      <c r="L214" s="21"/>
      <c r="M214" s="25">
        <f>H214*4%</f>
        <v>844.07039999999995</v>
      </c>
      <c r="N214" s="18">
        <f t="shared" ref="N214" si="95">SUM(H214:M214)</f>
        <v>21945.830399999999</v>
      </c>
      <c r="O214" s="137" t="s">
        <v>66</v>
      </c>
      <c r="P214" s="134" t="s">
        <v>3</v>
      </c>
    </row>
    <row r="215" spans="1:16" ht="28.5" customHeight="1" x14ac:dyDescent="0.3">
      <c r="A215" s="1" t="s">
        <v>5</v>
      </c>
      <c r="B215" s="12" t="s">
        <v>61</v>
      </c>
      <c r="C215" s="77" t="s">
        <v>67</v>
      </c>
      <c r="D215" s="118">
        <v>17.239999999999998</v>
      </c>
      <c r="E215" s="28">
        <v>136</v>
      </c>
      <c r="F215" s="7">
        <v>43952</v>
      </c>
      <c r="G215" s="8">
        <v>45046</v>
      </c>
      <c r="H215" s="9">
        <f>D215*E215*36</f>
        <v>84407.039999999994</v>
      </c>
      <c r="I215" s="106"/>
      <c r="J215" s="56"/>
      <c r="K215" s="11"/>
      <c r="L215" s="21"/>
      <c r="M215" s="25">
        <f>H215*4%</f>
        <v>3376.2815999999998</v>
      </c>
      <c r="N215" s="18">
        <f t="shared" ref="N215:N226" si="96">SUM(H215:M215)</f>
        <v>87783.321599999996</v>
      </c>
      <c r="O215" s="137" t="s">
        <v>94</v>
      </c>
      <c r="P215" s="134" t="s">
        <v>3</v>
      </c>
    </row>
    <row r="216" spans="1:16" ht="27" customHeight="1" x14ac:dyDescent="0.3">
      <c r="A216" s="1" t="s">
        <v>5</v>
      </c>
      <c r="B216" s="12" t="s">
        <v>61</v>
      </c>
      <c r="C216" s="77" t="s">
        <v>67</v>
      </c>
      <c r="D216" s="118">
        <v>17.239999999999998</v>
      </c>
      <c r="E216" s="28">
        <v>136</v>
      </c>
      <c r="F216" s="7">
        <v>44004</v>
      </c>
      <c r="G216" s="8">
        <v>45046</v>
      </c>
      <c r="H216" s="9">
        <f>D216*E216*34.25</f>
        <v>80303.92</v>
      </c>
      <c r="I216" s="106"/>
      <c r="J216" s="48">
        <f>H216*4%</f>
        <v>3212.1568000000002</v>
      </c>
      <c r="K216" s="11"/>
      <c r="L216" s="21"/>
      <c r="M216" s="25"/>
      <c r="N216" s="18">
        <f t="shared" si="96"/>
        <v>83516.076799999995</v>
      </c>
      <c r="O216" s="137" t="s">
        <v>73</v>
      </c>
      <c r="P216" s="134" t="s">
        <v>3</v>
      </c>
    </row>
    <row r="217" spans="1:16" ht="27" customHeight="1" x14ac:dyDescent="0.3">
      <c r="A217" s="1" t="s">
        <v>5</v>
      </c>
      <c r="B217" s="12" t="s">
        <v>61</v>
      </c>
      <c r="C217" s="77" t="s">
        <v>67</v>
      </c>
      <c r="D217" s="118">
        <v>23</v>
      </c>
      <c r="E217" s="28">
        <v>136</v>
      </c>
      <c r="F217" s="7">
        <v>44652</v>
      </c>
      <c r="G217" s="8">
        <v>45046</v>
      </c>
      <c r="H217" s="9">
        <f>D217*E217*13</f>
        <v>40664</v>
      </c>
      <c r="I217" s="106"/>
      <c r="J217" s="48">
        <f>H217*4%</f>
        <v>1626.56</v>
      </c>
      <c r="K217" s="11"/>
      <c r="L217" s="21"/>
      <c r="M217" s="25"/>
      <c r="N217" s="18">
        <f t="shared" ref="N217" si="97">SUM(H217:M217)</f>
        <v>42290.559999999998</v>
      </c>
      <c r="O217" s="137" t="s">
        <v>109</v>
      </c>
      <c r="P217" s="134" t="s">
        <v>3</v>
      </c>
    </row>
    <row r="218" spans="1:16" ht="27" customHeight="1" x14ac:dyDescent="0.3">
      <c r="A218" s="1" t="s">
        <v>5</v>
      </c>
      <c r="B218" s="12" t="s">
        <v>61</v>
      </c>
      <c r="C218" s="77" t="s">
        <v>67</v>
      </c>
      <c r="D218" s="118">
        <v>17.239999999999998</v>
      </c>
      <c r="E218" s="28">
        <v>136</v>
      </c>
      <c r="F218" s="7">
        <v>44562</v>
      </c>
      <c r="G218" s="8">
        <v>45046</v>
      </c>
      <c r="H218" s="9">
        <f>D218*E218*16</f>
        <v>37514.239999999998</v>
      </c>
      <c r="I218" s="106"/>
      <c r="J218" s="48">
        <f>H218*4%</f>
        <v>1500.5696</v>
      </c>
      <c r="K218" s="11"/>
      <c r="L218" s="21"/>
      <c r="M218" s="25"/>
      <c r="N218" s="18">
        <f t="shared" ref="N218" si="98">SUM(H218:M218)</f>
        <v>39014.809600000001</v>
      </c>
      <c r="O218" s="137" t="s">
        <v>113</v>
      </c>
      <c r="P218" s="134" t="s">
        <v>3</v>
      </c>
    </row>
    <row r="219" spans="1:16" ht="27" customHeight="1" x14ac:dyDescent="0.3">
      <c r="A219" s="1" t="s">
        <v>5</v>
      </c>
      <c r="B219" s="12" t="s">
        <v>110</v>
      </c>
      <c r="C219" s="77" t="s">
        <v>67</v>
      </c>
      <c r="D219" s="118">
        <v>17.3</v>
      </c>
      <c r="E219" s="28">
        <v>40</v>
      </c>
      <c r="F219" s="7">
        <v>44562</v>
      </c>
      <c r="G219" s="8">
        <v>45046</v>
      </c>
      <c r="H219" s="9">
        <f>D219*E219*16</f>
        <v>11072</v>
      </c>
      <c r="I219" s="106"/>
      <c r="J219" s="48">
        <f>H219*4%</f>
        <v>442.88</v>
      </c>
      <c r="K219" s="11"/>
      <c r="L219" s="21"/>
      <c r="M219" s="25"/>
      <c r="N219" s="18">
        <f t="shared" ref="N219" si="99">SUM(H219:M219)</f>
        <v>11514.88</v>
      </c>
      <c r="O219" s="137" t="s">
        <v>111</v>
      </c>
      <c r="P219" s="134" t="s">
        <v>3</v>
      </c>
    </row>
    <row r="220" spans="1:16" ht="30.75" customHeight="1" x14ac:dyDescent="0.3">
      <c r="A220" s="1" t="s">
        <v>5</v>
      </c>
      <c r="B220" s="77" t="s">
        <v>20</v>
      </c>
      <c r="C220" s="77" t="s">
        <v>62</v>
      </c>
      <c r="D220" s="14">
        <v>25</v>
      </c>
      <c r="E220" s="28">
        <v>125</v>
      </c>
      <c r="F220" s="7">
        <v>43952</v>
      </c>
      <c r="G220" s="8">
        <v>44408</v>
      </c>
      <c r="H220" s="9">
        <f>D220*E220*15</f>
        <v>46875</v>
      </c>
      <c r="I220" s="25"/>
      <c r="J220" s="80"/>
      <c r="K220" s="11"/>
      <c r="L220" s="21"/>
      <c r="M220" s="21"/>
      <c r="N220" s="18">
        <f t="shared" si="96"/>
        <v>46875</v>
      </c>
      <c r="O220" s="137" t="s">
        <v>79</v>
      </c>
      <c r="P220" s="134" t="s">
        <v>3</v>
      </c>
    </row>
    <row r="221" spans="1:16" ht="22.5" x14ac:dyDescent="0.3">
      <c r="A221" s="1" t="s">
        <v>5</v>
      </c>
      <c r="B221" s="77" t="s">
        <v>20</v>
      </c>
      <c r="C221" s="77" t="s">
        <v>62</v>
      </c>
      <c r="D221" s="14">
        <v>32</v>
      </c>
      <c r="E221" s="28">
        <v>125</v>
      </c>
      <c r="F221" s="7">
        <v>44409</v>
      </c>
      <c r="G221" s="8">
        <v>45046</v>
      </c>
      <c r="H221" s="9">
        <f>D221*E221*21</f>
        <v>84000</v>
      </c>
      <c r="I221" s="25"/>
      <c r="J221" s="80"/>
      <c r="K221" s="11"/>
      <c r="L221" s="21"/>
      <c r="M221" s="21"/>
      <c r="N221" s="18">
        <f t="shared" ref="N221" si="100">SUM(H221:M221)</f>
        <v>84000</v>
      </c>
      <c r="O221" s="137" t="s">
        <v>100</v>
      </c>
      <c r="P221" s="134" t="s">
        <v>3</v>
      </c>
    </row>
    <row r="222" spans="1:16" ht="30" customHeight="1" x14ac:dyDescent="0.3">
      <c r="A222" s="1" t="s">
        <v>5</v>
      </c>
      <c r="B222" s="26" t="s">
        <v>30</v>
      </c>
      <c r="C222" s="77" t="s">
        <v>62</v>
      </c>
      <c r="D222" s="119">
        <v>32.28</v>
      </c>
      <c r="E222" s="28">
        <v>30</v>
      </c>
      <c r="F222" s="7">
        <v>43466</v>
      </c>
      <c r="G222" s="8">
        <v>43951</v>
      </c>
      <c r="H222" s="9">
        <f>D222*E222*16</f>
        <v>15494.400000000001</v>
      </c>
      <c r="I222" s="10"/>
      <c r="J222" s="21"/>
      <c r="K222" s="67"/>
      <c r="L222" s="21"/>
      <c r="M222" s="21"/>
      <c r="N222" s="18">
        <f t="shared" si="96"/>
        <v>15494.400000000001</v>
      </c>
      <c r="O222" s="137" t="s">
        <v>31</v>
      </c>
      <c r="P222" s="134" t="s">
        <v>3</v>
      </c>
    </row>
    <row r="223" spans="1:16" ht="30" customHeight="1" x14ac:dyDescent="0.3">
      <c r="A223" s="1" t="s">
        <v>5</v>
      </c>
      <c r="B223" s="26" t="s">
        <v>30</v>
      </c>
      <c r="C223" s="77" t="s">
        <v>62</v>
      </c>
      <c r="D223" s="27">
        <v>32.28</v>
      </c>
      <c r="E223" s="28">
        <v>7</v>
      </c>
      <c r="F223" s="7">
        <v>43466</v>
      </c>
      <c r="G223" s="8">
        <v>43951</v>
      </c>
      <c r="H223" s="9">
        <f>D223*E223*16</f>
        <v>3615.36</v>
      </c>
      <c r="I223" s="10"/>
      <c r="J223" s="32"/>
      <c r="K223" s="33"/>
      <c r="L223" s="21"/>
      <c r="M223" s="21"/>
      <c r="N223" s="18">
        <f t="shared" si="96"/>
        <v>3615.36</v>
      </c>
      <c r="O223" s="137" t="s">
        <v>32</v>
      </c>
      <c r="P223" s="134" t="s">
        <v>3</v>
      </c>
    </row>
    <row r="224" spans="1:16" ht="25.5" customHeight="1" x14ac:dyDescent="0.3">
      <c r="A224" s="1" t="s">
        <v>5</v>
      </c>
      <c r="B224" s="26" t="s">
        <v>30</v>
      </c>
      <c r="C224" s="77" t="s">
        <v>62</v>
      </c>
      <c r="D224" s="27">
        <v>32.5</v>
      </c>
      <c r="E224" s="28">
        <v>30</v>
      </c>
      <c r="F224" s="7">
        <v>43952</v>
      </c>
      <c r="G224" s="8">
        <v>45046</v>
      </c>
      <c r="H224" s="9">
        <f>D224*E224*36</f>
        <v>35100</v>
      </c>
      <c r="I224" s="25"/>
      <c r="J224" s="80"/>
      <c r="K224" s="11"/>
      <c r="L224" s="21"/>
      <c r="M224" s="21"/>
      <c r="N224" s="18">
        <f t="shared" si="96"/>
        <v>35100</v>
      </c>
      <c r="O224" s="137" t="s">
        <v>42</v>
      </c>
      <c r="P224" s="134" t="s">
        <v>3</v>
      </c>
    </row>
    <row r="225" spans="1:16" ht="29.25" customHeight="1" x14ac:dyDescent="0.3">
      <c r="A225" s="1" t="s">
        <v>5</v>
      </c>
      <c r="B225" s="15" t="s">
        <v>2</v>
      </c>
      <c r="C225" s="77" t="s">
        <v>62</v>
      </c>
      <c r="D225" s="27">
        <v>32.5</v>
      </c>
      <c r="E225" s="99">
        <v>31</v>
      </c>
      <c r="F225" s="7">
        <v>43952</v>
      </c>
      <c r="G225" s="8">
        <v>44348</v>
      </c>
      <c r="H225" s="9">
        <f>D225*E225*13</f>
        <v>13097.5</v>
      </c>
      <c r="I225" s="10"/>
      <c r="J225" s="17"/>
      <c r="K225" s="11"/>
      <c r="L225" s="17"/>
      <c r="M225" s="17"/>
      <c r="N225" s="18">
        <f t="shared" si="96"/>
        <v>13097.5</v>
      </c>
      <c r="O225" s="137" t="s">
        <v>95</v>
      </c>
      <c r="P225" s="134" t="s">
        <v>3</v>
      </c>
    </row>
    <row r="226" spans="1:16" ht="28.5" customHeight="1" x14ac:dyDescent="0.3">
      <c r="A226" s="1" t="s">
        <v>5</v>
      </c>
      <c r="B226" s="62" t="s">
        <v>40</v>
      </c>
      <c r="C226" s="77" t="s">
        <v>62</v>
      </c>
      <c r="D226" s="27">
        <v>32.28</v>
      </c>
      <c r="E226" s="24">
        <v>20</v>
      </c>
      <c r="F226" s="7">
        <v>43486</v>
      </c>
      <c r="G226" s="8">
        <v>43951</v>
      </c>
      <c r="H226" s="9">
        <f>D226*E226*15.25</f>
        <v>9845.4</v>
      </c>
      <c r="I226" s="10"/>
      <c r="J226" s="83"/>
      <c r="K226" s="11"/>
      <c r="L226" s="21"/>
      <c r="M226" s="21"/>
      <c r="N226" s="18">
        <f t="shared" si="96"/>
        <v>9845.4</v>
      </c>
      <c r="O226" s="137" t="s">
        <v>41</v>
      </c>
      <c r="P226" s="134" t="s">
        <v>3</v>
      </c>
    </row>
    <row r="227" spans="1:16" ht="27.75" customHeight="1" x14ac:dyDescent="0.3">
      <c r="A227" s="1" t="s">
        <v>5</v>
      </c>
      <c r="B227" s="62" t="s">
        <v>40</v>
      </c>
      <c r="C227" s="77" t="s">
        <v>62</v>
      </c>
      <c r="D227" s="27">
        <v>32.5</v>
      </c>
      <c r="E227" s="24">
        <v>20</v>
      </c>
      <c r="F227" s="7">
        <v>43952</v>
      </c>
      <c r="G227" s="8">
        <v>45046</v>
      </c>
      <c r="H227" s="9">
        <f>D227*E227*36</f>
        <v>23400</v>
      </c>
      <c r="I227" s="10"/>
      <c r="J227" s="83"/>
      <c r="K227" s="11"/>
      <c r="L227" s="21"/>
      <c r="M227" s="21"/>
      <c r="N227" s="18">
        <f t="shared" ref="N227:N229" si="101">SUM(H227:M227)</f>
        <v>23400</v>
      </c>
      <c r="O227" s="137" t="s">
        <v>42</v>
      </c>
      <c r="P227" s="134" t="s">
        <v>3</v>
      </c>
    </row>
    <row r="228" spans="1:16" ht="24.75" customHeight="1" x14ac:dyDescent="0.3">
      <c r="A228" s="1" t="s">
        <v>5</v>
      </c>
      <c r="B228" s="7" t="s">
        <v>43</v>
      </c>
      <c r="C228" s="77" t="s">
        <v>62</v>
      </c>
      <c r="D228" s="27">
        <v>32.5</v>
      </c>
      <c r="E228" s="38">
        <v>15</v>
      </c>
      <c r="F228" s="7">
        <v>43952</v>
      </c>
      <c r="G228" s="8">
        <v>44325</v>
      </c>
      <c r="H228" s="9">
        <f>D228*E228*12.25</f>
        <v>5971.875</v>
      </c>
      <c r="I228" s="10"/>
      <c r="J228" s="39"/>
      <c r="K228" s="40"/>
      <c r="L228" s="21"/>
      <c r="M228" s="21"/>
      <c r="N228" s="18">
        <f t="shared" si="101"/>
        <v>5971.875</v>
      </c>
      <c r="O228" s="137" t="s">
        <v>44</v>
      </c>
      <c r="P228" s="134" t="s">
        <v>3</v>
      </c>
    </row>
    <row r="229" spans="1:16" ht="25.5" customHeight="1" x14ac:dyDescent="0.3">
      <c r="A229" s="1" t="s">
        <v>5</v>
      </c>
      <c r="B229" s="7" t="s">
        <v>43</v>
      </c>
      <c r="C229" s="77" t="s">
        <v>62</v>
      </c>
      <c r="D229" s="27">
        <v>32.5</v>
      </c>
      <c r="E229" s="38">
        <v>15</v>
      </c>
      <c r="F229" s="7">
        <v>43952</v>
      </c>
      <c r="G229" s="8">
        <v>44377</v>
      </c>
      <c r="H229" s="9">
        <f>D229*E229*14</f>
        <v>6825</v>
      </c>
      <c r="I229" s="10"/>
      <c r="J229" s="39"/>
      <c r="K229" s="40"/>
      <c r="L229" s="21"/>
      <c r="M229" s="21"/>
      <c r="N229" s="18">
        <f t="shared" si="101"/>
        <v>6825</v>
      </c>
      <c r="O229" s="137" t="s">
        <v>44</v>
      </c>
      <c r="P229" s="134" t="s">
        <v>3</v>
      </c>
    </row>
    <row r="230" spans="1:16" ht="25.5" customHeight="1" x14ac:dyDescent="0.3">
      <c r="A230" s="1" t="s">
        <v>5</v>
      </c>
      <c r="B230" s="7" t="s">
        <v>43</v>
      </c>
      <c r="C230" s="77" t="s">
        <v>62</v>
      </c>
      <c r="D230" s="27">
        <v>32.5</v>
      </c>
      <c r="E230" s="38">
        <v>15</v>
      </c>
      <c r="F230" s="7">
        <v>44562</v>
      </c>
      <c r="G230" s="8">
        <v>45046</v>
      </c>
      <c r="H230" s="9">
        <f>D230*E230*16</f>
        <v>7800</v>
      </c>
      <c r="I230" s="10"/>
      <c r="J230" s="39"/>
      <c r="K230" s="40"/>
      <c r="L230" s="21"/>
      <c r="M230" s="21"/>
      <c r="N230" s="18">
        <f t="shared" ref="N230" si="102">SUM(H230:M230)</f>
        <v>7800</v>
      </c>
      <c r="O230" s="137" t="s">
        <v>44</v>
      </c>
      <c r="P230" s="134" t="s">
        <v>3</v>
      </c>
    </row>
    <row r="231" spans="1:16" ht="27.75" customHeight="1" x14ac:dyDescent="0.3">
      <c r="A231" s="1" t="s">
        <v>5</v>
      </c>
      <c r="B231" s="21" t="s">
        <v>0</v>
      </c>
      <c r="C231" s="77" t="s">
        <v>62</v>
      </c>
      <c r="D231" s="27">
        <v>20</v>
      </c>
      <c r="E231" s="28">
        <v>74</v>
      </c>
      <c r="F231" s="7">
        <v>43952</v>
      </c>
      <c r="G231" s="8">
        <v>45046</v>
      </c>
      <c r="H231" s="9">
        <f>D231*E231*36</f>
        <v>53280</v>
      </c>
      <c r="I231" s="100"/>
      <c r="J231" s="100"/>
      <c r="K231" s="101">
        <f t="shared" ref="K231:K238" si="103">H231*2%</f>
        <v>1065.5999999999999</v>
      </c>
      <c r="L231" s="21"/>
      <c r="M231" s="21"/>
      <c r="N231" s="18">
        <f t="shared" ref="N231:N241" si="104">SUM(H231:M231)</f>
        <v>54345.599999999999</v>
      </c>
      <c r="O231" s="137" t="s">
        <v>86</v>
      </c>
      <c r="P231" s="134" t="s">
        <v>3</v>
      </c>
    </row>
    <row r="232" spans="1:16" ht="32.25" customHeight="1" x14ac:dyDescent="0.3">
      <c r="A232" s="1" t="s">
        <v>5</v>
      </c>
      <c r="B232" s="21" t="s">
        <v>0</v>
      </c>
      <c r="C232" s="77" t="s">
        <v>62</v>
      </c>
      <c r="D232" s="27">
        <v>20</v>
      </c>
      <c r="E232" s="28">
        <v>74</v>
      </c>
      <c r="F232" s="7">
        <v>43952</v>
      </c>
      <c r="G232" s="8">
        <v>44606</v>
      </c>
      <c r="H232" s="9">
        <f>D232*E232*21.5</f>
        <v>31820</v>
      </c>
      <c r="I232" s="100"/>
      <c r="J232" s="100"/>
      <c r="K232" s="101">
        <f t="shared" si="103"/>
        <v>636.4</v>
      </c>
      <c r="L232" s="21"/>
      <c r="M232" s="21"/>
      <c r="N232" s="18">
        <f t="shared" si="104"/>
        <v>32456.400000000001</v>
      </c>
      <c r="O232" s="137" t="s">
        <v>86</v>
      </c>
      <c r="P232" s="134" t="s">
        <v>3</v>
      </c>
    </row>
    <row r="233" spans="1:16" ht="31.5" customHeight="1" x14ac:dyDescent="0.3">
      <c r="A233" s="1" t="s">
        <v>5</v>
      </c>
      <c r="B233" s="21" t="s">
        <v>0</v>
      </c>
      <c r="C233" s="77" t="s">
        <v>62</v>
      </c>
      <c r="D233" s="27">
        <v>20</v>
      </c>
      <c r="E233" s="28">
        <v>74</v>
      </c>
      <c r="F233" s="7">
        <v>43952</v>
      </c>
      <c r="G233" s="8">
        <v>44725</v>
      </c>
      <c r="H233" s="9">
        <f>D233*E233*25.5</f>
        <v>37740</v>
      </c>
      <c r="I233" s="100"/>
      <c r="J233" s="100"/>
      <c r="K233" s="101">
        <f t="shared" si="103"/>
        <v>754.80000000000007</v>
      </c>
      <c r="L233" s="21"/>
      <c r="M233" s="21"/>
      <c r="N233" s="18">
        <f t="shared" si="104"/>
        <v>38494.800000000003</v>
      </c>
      <c r="O233" s="137" t="s">
        <v>86</v>
      </c>
      <c r="P233" s="134" t="s">
        <v>3</v>
      </c>
    </row>
    <row r="234" spans="1:16" ht="29.25" customHeight="1" x14ac:dyDescent="0.3">
      <c r="A234" s="1" t="s">
        <v>5</v>
      </c>
      <c r="B234" s="21" t="s">
        <v>0</v>
      </c>
      <c r="C234" s="77" t="s">
        <v>62</v>
      </c>
      <c r="D234" s="27">
        <v>20</v>
      </c>
      <c r="E234" s="28">
        <v>74</v>
      </c>
      <c r="F234" s="7">
        <v>43952</v>
      </c>
      <c r="G234" s="8">
        <v>45046</v>
      </c>
      <c r="H234" s="9">
        <f>D234*E234*36</f>
        <v>53280</v>
      </c>
      <c r="I234" s="100"/>
      <c r="J234" s="100"/>
      <c r="K234" s="101">
        <f t="shared" si="103"/>
        <v>1065.5999999999999</v>
      </c>
      <c r="L234" s="21"/>
      <c r="M234" s="21"/>
      <c r="N234" s="18">
        <f t="shared" si="104"/>
        <v>54345.599999999999</v>
      </c>
      <c r="O234" s="137" t="s">
        <v>86</v>
      </c>
      <c r="P234" s="134" t="s">
        <v>3</v>
      </c>
    </row>
    <row r="235" spans="1:16" ht="28.5" customHeight="1" x14ac:dyDescent="0.3">
      <c r="A235" s="1" t="s">
        <v>5</v>
      </c>
      <c r="B235" s="21" t="s">
        <v>0</v>
      </c>
      <c r="C235" s="77" t="s">
        <v>62</v>
      </c>
      <c r="D235" s="27">
        <v>20</v>
      </c>
      <c r="E235" s="28">
        <v>74</v>
      </c>
      <c r="F235" s="7">
        <v>43952</v>
      </c>
      <c r="G235" s="8">
        <v>45046</v>
      </c>
      <c r="H235" s="9">
        <f>D235*E235*36</f>
        <v>53280</v>
      </c>
      <c r="I235" s="100"/>
      <c r="J235" s="100"/>
      <c r="K235" s="101">
        <f t="shared" si="103"/>
        <v>1065.5999999999999</v>
      </c>
      <c r="L235" s="21"/>
      <c r="M235" s="21"/>
      <c r="N235" s="18">
        <f t="shared" si="104"/>
        <v>54345.599999999999</v>
      </c>
      <c r="O235" s="137" t="s">
        <v>86</v>
      </c>
      <c r="P235" s="134" t="s">
        <v>3</v>
      </c>
    </row>
    <row r="236" spans="1:16" ht="26.25" customHeight="1" x14ac:dyDescent="0.3">
      <c r="A236" s="1" t="s">
        <v>5</v>
      </c>
      <c r="B236" s="21" t="s">
        <v>0</v>
      </c>
      <c r="C236" s="77" t="s">
        <v>62</v>
      </c>
      <c r="D236" s="27">
        <v>20</v>
      </c>
      <c r="E236" s="28">
        <v>74</v>
      </c>
      <c r="F236" s="7">
        <v>43952</v>
      </c>
      <c r="G236" s="8">
        <v>44316</v>
      </c>
      <c r="H236" s="9">
        <f>D236*E236*12</f>
        <v>17760</v>
      </c>
      <c r="I236" s="100"/>
      <c r="J236" s="100"/>
      <c r="K236" s="101">
        <f t="shared" si="103"/>
        <v>355.2</v>
      </c>
      <c r="L236" s="21"/>
      <c r="M236" s="21"/>
      <c r="N236" s="18">
        <f t="shared" si="104"/>
        <v>18115.2</v>
      </c>
      <c r="O236" s="137" t="s">
        <v>86</v>
      </c>
      <c r="P236" s="134" t="s">
        <v>3</v>
      </c>
    </row>
    <row r="237" spans="1:16" ht="28.5" customHeight="1" x14ac:dyDescent="0.3">
      <c r="A237" s="1" t="s">
        <v>5</v>
      </c>
      <c r="B237" s="21" t="s">
        <v>0</v>
      </c>
      <c r="C237" s="77" t="s">
        <v>62</v>
      </c>
      <c r="D237" s="27">
        <v>20</v>
      </c>
      <c r="E237" s="28">
        <v>80</v>
      </c>
      <c r="F237" s="7">
        <v>43952</v>
      </c>
      <c r="G237" s="8">
        <v>45046</v>
      </c>
      <c r="H237" s="9">
        <f>D237*E237*36</f>
        <v>57600</v>
      </c>
      <c r="I237" s="100"/>
      <c r="J237" s="100"/>
      <c r="K237" s="101">
        <f t="shared" si="103"/>
        <v>1152</v>
      </c>
      <c r="L237" s="21"/>
      <c r="M237" s="21"/>
      <c r="N237" s="18">
        <f t="shared" si="104"/>
        <v>58752</v>
      </c>
      <c r="O237" s="137" t="s">
        <v>86</v>
      </c>
      <c r="P237" s="134" t="s">
        <v>3</v>
      </c>
    </row>
    <row r="238" spans="1:16" ht="28.5" customHeight="1" x14ac:dyDescent="0.3">
      <c r="A238" s="1" t="s">
        <v>5</v>
      </c>
      <c r="B238" s="21" t="s">
        <v>0</v>
      </c>
      <c r="C238" s="77" t="s">
        <v>62</v>
      </c>
      <c r="D238" s="27">
        <v>20</v>
      </c>
      <c r="E238" s="28">
        <v>80</v>
      </c>
      <c r="F238" s="7">
        <v>44562</v>
      </c>
      <c r="G238" s="8">
        <v>45046</v>
      </c>
      <c r="H238" s="9">
        <f>D238*E238*16</f>
        <v>25600</v>
      </c>
      <c r="I238" s="100"/>
      <c r="J238" s="156"/>
      <c r="K238" s="101">
        <f t="shared" si="103"/>
        <v>512</v>
      </c>
      <c r="L238" s="21"/>
      <c r="M238" s="21"/>
      <c r="N238" s="18">
        <f t="shared" si="104"/>
        <v>26112</v>
      </c>
      <c r="O238" s="137" t="s">
        <v>119</v>
      </c>
      <c r="P238" s="134" t="s">
        <v>3</v>
      </c>
    </row>
    <row r="239" spans="1:16" ht="28.5" customHeight="1" x14ac:dyDescent="0.3">
      <c r="A239" s="1" t="s">
        <v>5</v>
      </c>
      <c r="B239" s="4" t="s">
        <v>60</v>
      </c>
      <c r="C239" s="77" t="s">
        <v>62</v>
      </c>
      <c r="D239" s="5">
        <v>17.239999999999998</v>
      </c>
      <c r="E239" s="28">
        <v>136</v>
      </c>
      <c r="F239" s="7">
        <v>43466</v>
      </c>
      <c r="G239" s="8">
        <v>43891</v>
      </c>
      <c r="H239" s="9">
        <f>D239*E239*15</f>
        <v>35169.599999999999</v>
      </c>
      <c r="I239" s="106"/>
      <c r="J239" s="56"/>
      <c r="K239" s="11"/>
      <c r="L239" s="21"/>
      <c r="M239" s="18">
        <f>H239*2%</f>
        <v>703.39199999999994</v>
      </c>
      <c r="N239" s="18">
        <f t="shared" si="104"/>
        <v>35872.991999999998</v>
      </c>
      <c r="O239" s="137" t="s">
        <v>63</v>
      </c>
      <c r="P239" s="134" t="s">
        <v>3</v>
      </c>
    </row>
    <row r="240" spans="1:16" ht="24" customHeight="1" x14ac:dyDescent="0.3">
      <c r="A240" s="1" t="s">
        <v>5</v>
      </c>
      <c r="B240" s="4" t="s">
        <v>60</v>
      </c>
      <c r="C240" s="77" t="s">
        <v>62</v>
      </c>
      <c r="D240" s="5">
        <v>17.239999999999998</v>
      </c>
      <c r="E240" s="28">
        <v>136</v>
      </c>
      <c r="F240" s="7">
        <v>43952</v>
      </c>
      <c r="G240" s="8">
        <v>44332</v>
      </c>
      <c r="H240" s="9">
        <f>D240*E240*12.5</f>
        <v>29308</v>
      </c>
      <c r="I240" s="106"/>
      <c r="J240" s="56"/>
      <c r="K240" s="11"/>
      <c r="L240" s="21"/>
      <c r="M240" s="18">
        <f>H240*2%</f>
        <v>586.16</v>
      </c>
      <c r="N240" s="18">
        <f t="shared" si="104"/>
        <v>29894.16</v>
      </c>
      <c r="O240" s="137" t="s">
        <v>94</v>
      </c>
      <c r="P240" s="134" t="s">
        <v>3</v>
      </c>
    </row>
    <row r="241" spans="1:16" ht="22.5" x14ac:dyDescent="0.3">
      <c r="A241" s="1" t="s">
        <v>5</v>
      </c>
      <c r="B241" s="4" t="s">
        <v>60</v>
      </c>
      <c r="C241" s="77" t="s">
        <v>62</v>
      </c>
      <c r="D241" s="5">
        <v>17.239999999999998</v>
      </c>
      <c r="E241" s="28">
        <v>136</v>
      </c>
      <c r="F241" s="7">
        <v>43952</v>
      </c>
      <c r="G241" s="8">
        <v>44196</v>
      </c>
      <c r="H241" s="9">
        <f>D241*E241*8</f>
        <v>18757.12</v>
      </c>
      <c r="I241" s="106"/>
      <c r="J241" s="56"/>
      <c r="K241" s="11"/>
      <c r="L241" s="21"/>
      <c r="M241" s="18">
        <f>H241*4%</f>
        <v>750.28480000000002</v>
      </c>
      <c r="N241" s="18">
        <f t="shared" si="104"/>
        <v>19507.4048</v>
      </c>
      <c r="O241" s="137" t="s">
        <v>26</v>
      </c>
      <c r="P241" s="134" t="s">
        <v>3</v>
      </c>
    </row>
    <row r="242" spans="1:16" ht="29.25" customHeight="1" x14ac:dyDescent="0.3">
      <c r="A242" s="1" t="s">
        <v>5</v>
      </c>
      <c r="B242" s="4" t="s">
        <v>60</v>
      </c>
      <c r="C242" s="77" t="s">
        <v>62</v>
      </c>
      <c r="D242" s="5">
        <v>17.239999999999998</v>
      </c>
      <c r="E242" s="28">
        <v>136</v>
      </c>
      <c r="F242" s="7">
        <v>43952</v>
      </c>
      <c r="G242" s="8">
        <v>44436</v>
      </c>
      <c r="H242" s="9">
        <f>D242*E242*16</f>
        <v>37514.239999999998</v>
      </c>
      <c r="I242" s="106"/>
      <c r="J242" s="56"/>
      <c r="K242" s="11"/>
      <c r="L242" s="21"/>
      <c r="M242" s="18">
        <f>H242*4%</f>
        <v>1500.5696</v>
      </c>
      <c r="N242" s="18">
        <f t="shared" ref="N242" si="105">SUM(H242:M242)</f>
        <v>39014.809600000001</v>
      </c>
      <c r="O242" s="137" t="s">
        <v>26</v>
      </c>
      <c r="P242" s="134" t="s">
        <v>3</v>
      </c>
    </row>
    <row r="243" spans="1:16" x14ac:dyDescent="0.3">
      <c r="O243" s="135"/>
      <c r="P243" s="135"/>
    </row>
    <row r="244" spans="1:16" x14ac:dyDescent="0.3">
      <c r="O244" s="135"/>
    </row>
    <row r="248" spans="1:16" x14ac:dyDescent="0.3">
      <c r="L248" s="102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CARCERI 2022</vt:lpstr>
      <vt:lpstr>'CARCERI 2022'!Titoli_stampa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Manti Maria Delia</cp:lastModifiedBy>
  <cp:lastPrinted>2022-05-18T14:11:15Z</cp:lastPrinted>
  <dcterms:created xsi:type="dcterms:W3CDTF">2018-12-21T10:27:18Z</dcterms:created>
  <dcterms:modified xsi:type="dcterms:W3CDTF">2022-11-23T08:37:32Z</dcterms:modified>
</cp:coreProperties>
</file>