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45" windowHeight="6930" tabRatio="687" firstSheet="4" activeTab="5"/>
  </bookViews>
  <sheets>
    <sheet name="INFO_OUT" sheetId="1" state="hidden" r:id="rId1"/>
    <sheet name="VERSIONI" sheetId="2" state="veryHidden" r:id="rId2"/>
    <sheet name="ANAGR" sheetId="3" state="veryHidden" r:id="rId3"/>
    <sheet name="MESI" sheetId="4" state="veryHidden" r:id="rId4"/>
    <sheet name="Info" sheetId="5" r:id="rId5"/>
    <sheet name="Assegnazione da Regione sk1" sheetId="6" r:id="rId6"/>
    <sheet name="Assegnazione da Regione sk2" sheetId="7" r:id="rId7"/>
    <sheet name="Prospetto di sintesi" sheetId="8" r:id="rId8"/>
    <sheet name="Beni e servizi" sheetId="9" r:id="rId9"/>
    <sheet name="Crediti da RL pregr" sheetId="10" r:id="rId10"/>
    <sheet name="LEGENDA ERRORI" sheetId="11" r:id="rId11"/>
    <sheet name="MAPP_ENTI" sheetId="12" state="veryHidden" r:id="rId12"/>
    <sheet name="ASSEGN" sheetId="13" state="veryHidden" r:id="rId13"/>
    <sheet name="DECRETI" sheetId="14" state="veryHidden" r:id="rId14"/>
    <sheet name="NOTE" sheetId="15" state="veryHidden" r:id="rId15"/>
    <sheet name="PER_DECR" sheetId="16" r:id="rId16"/>
  </sheets>
  <externalReferences>
    <externalReference r:id="rId19"/>
    <externalReference r:id="rId20"/>
    <externalReference r:id="rId21"/>
  </externalReferences>
  <definedNames>
    <definedName name="_xlfn.IFERROR" hidden="1">#NAME?</definedName>
    <definedName name="aaa" localSheetId="3">#REF!</definedName>
    <definedName name="ANAGR">'ANAGR'!$A$1:$H$2</definedName>
    <definedName name="_xlnm.Print_Area" localSheetId="8">'Beni e servizi'!$B$1:$S$45</definedName>
    <definedName name="_xlnm.Print_Area" localSheetId="10">'LEGENDA ERRORI'!$B$1:$C$14</definedName>
    <definedName name="_xlnm.Print_Area" localSheetId="7">'Prospetto di sintesi'!$B$1:$AS$95</definedName>
    <definedName name="ASSEGN">'ASSEGN'!$A$1:$I$26</definedName>
    <definedName name="DECRETI">'DECRETI'!$A$1:$J$67</definedName>
    <definedName name="INFO_OUT" localSheetId="3">#REF!</definedName>
    <definedName name="MAPP_ENTI">'MAPP_ENTI'!$A$1:$D$2</definedName>
    <definedName name="MESI">'MESI'!$B$2:$B$13</definedName>
    <definedName name="NOTE">'NOTE'!$A$1:$D$1</definedName>
    <definedName name="PER_DECR">'PER_DECR'!$A$1:$D$2</definedName>
    <definedName name="TENDINA_EROGATORI" localSheetId="3">'[3]SK1.EROG.SAN.2011.E.PREC.'!$AF$8:$AF$8</definedName>
    <definedName name="_xlnm.Print_Titles" localSheetId="7">'Prospetto di sintesi'!$B:$B,'Prospetto di sintesi'!$6:$8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<sst xmlns="http://schemas.openxmlformats.org/spreadsheetml/2006/main" count="1332" uniqueCount="933">
  <si>
    <t>VERSIONE</t>
  </si>
  <si>
    <t>MESE</t>
  </si>
  <si>
    <t>PERIODO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</si>
  <si>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</si>
  <si>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</si>
  <si>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</si>
  <si>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</si>
  <si>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</si>
  <si>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</si>
  <si>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</si>
  <si>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</si>
  <si>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</si>
  <si>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</si>
  <si>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</si>
  <si>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</si>
  <si>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</si>
  <si>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</si>
  <si>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</si>
  <si>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</si>
  <si>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</si>
  <si>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</si>
  <si>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2019</t>
  </si>
  <si>
    <t>Flussi di cassa</t>
  </si>
  <si>
    <t>FLCP01.V1</t>
  </si>
  <si>
    <t>05/04/2019 16:50:12</t>
  </si>
  <si>
    <t>FL19_01</t>
  </si>
  <si>
    <t>01</t>
  </si>
  <si>
    <t>NUM_MESE</t>
  </si>
  <si>
    <t>MESI</t>
  </si>
  <si>
    <t>01_Gennaio</t>
  </si>
  <si>
    <t>02</t>
  </si>
  <si>
    <t>02_Febbraio</t>
  </si>
  <si>
    <t>03</t>
  </si>
  <si>
    <t>03_Marzo</t>
  </si>
  <si>
    <t>04</t>
  </si>
  <si>
    <t>04_Aprile</t>
  </si>
  <si>
    <t>05</t>
  </si>
  <si>
    <t>05_Maggio</t>
  </si>
  <si>
    <t>06</t>
  </si>
  <si>
    <t>06_Giugno</t>
  </si>
  <si>
    <t>07</t>
  </si>
  <si>
    <t>07_Luglio</t>
  </si>
  <si>
    <t>08</t>
  </si>
  <si>
    <t>08_Agosto</t>
  </si>
  <si>
    <t>09</t>
  </si>
  <si>
    <t>09_Settembre</t>
  </si>
  <si>
    <t>10</t>
  </si>
  <si>
    <t>10_Ottobre</t>
  </si>
  <si>
    <t>11</t>
  </si>
  <si>
    <t>11_Novembre</t>
  </si>
  <si>
    <t>12</t>
  </si>
  <si>
    <t>12_Dicembre</t>
  </si>
  <si>
    <t>Azienda</t>
  </si>
  <si>
    <t>Anno</t>
  </si>
  <si>
    <t>Modulo</t>
  </si>
  <si>
    <t/>
  </si>
  <si>
    <t>Versione decreti</t>
  </si>
  <si>
    <t>Versione</t>
  </si>
  <si>
    <t>Mese aggiornamento</t>
  </si>
  <si>
    <t xml:space="preserve">Data </t>
  </si>
  <si>
    <t xml:space="preserve">  !! INSERIRE LA DATA DI COMPILAZIONE !!</t>
  </si>
  <si>
    <t>vers. modello 1.1 - Ottobre 2017</t>
  </si>
  <si>
    <t>ASL MILANO N° 3</t>
  </si>
  <si>
    <t>PRE2</t>
  </si>
  <si>
    <t>ASL PAVIA</t>
  </si>
  <si>
    <t>PRE3</t>
  </si>
  <si>
    <t>ASL SONDRIO</t>
  </si>
  <si>
    <t>PRE4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</si>
  <si>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</si>
  <si>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</si>
  <si>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</si>
  <si>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</si>
  <si>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</si>
  <si>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</si>
  <si>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</si>
  <si>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</si>
  <si>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</si>
  <si>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</si>
  <si>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</si>
  <si>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</si>
  <si>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</si>
  <si>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</si>
  <si>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</si>
  <si>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</si>
  <si>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</si>
  <si>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</si>
  <si>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</si>
  <si>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</si>
  <si>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</si>
  <si>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</si>
  <si>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</si>
  <si>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</si>
  <si>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</si>
  <si>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</si>
  <si>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CIVILE -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</si>
  <si>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</si>
  <si>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</si>
  <si>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</si>
  <si>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</si>
  <si>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</si>
  <si>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</si>
  <si>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</si>
  <si>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</si>
  <si>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</si>
  <si>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XXX</t>
  </si>
  <si>
    <t>--</t>
  </si>
  <si>
    <t>(valori in migliaia di Euro)</t>
  </si>
  <si>
    <t>ASSEGNAZIONE SAN</t>
  </si>
  <si>
    <t>ASSEGNAZIONE AREU</t>
  </si>
  <si>
    <t>ASSEGNAZIONE TOTALE</t>
  </si>
  <si>
    <t>Controllo quadratura</t>
  </si>
  <si>
    <t>Sezione A:</t>
  </si>
  <si>
    <t>ASSEGNAZIONE E VALIDAZIONE CONTRIBUTI REGIONALI</t>
  </si>
  <si>
    <t>A1TOT</t>
  </si>
  <si>
    <t>1)</t>
  </si>
  <si>
    <t>Contributi in c/esercizio da Regione - FSR INDISTINTO</t>
  </si>
  <si>
    <t>AOIR14</t>
  </si>
  <si>
    <t>Contributo da destinare al finanziamento del Pssr, progetti obiettivo, miglioramento qualità offerta e realizzazione piani di sviluppo regionali</t>
  </si>
  <si>
    <t>AOIR02</t>
  </si>
  <si>
    <t xml:space="preserve">Funzioni non tariffate </t>
  </si>
  <si>
    <t>AOIR11</t>
  </si>
  <si>
    <t>Altri Contributi in c/esercizio da Regione - FSR Indistinto</t>
  </si>
  <si>
    <t>Altri contributi da Regione per servizi socio-sanitari (ASSI)-(FSR indistinto)</t>
  </si>
  <si>
    <t>2)</t>
  </si>
  <si>
    <t>Contributi in c/esercizio da Regione - FSR VINCOLATO</t>
  </si>
  <si>
    <t>3)</t>
  </si>
  <si>
    <t>Contributi in c/esercizio da Regione - EXTRA FONDO</t>
  </si>
  <si>
    <t>Sezione B:</t>
  </si>
  <si>
    <t>VALIDAZIONE RICAVI E ALTRI CONTRIBUTI</t>
  </si>
  <si>
    <t>AOIR12</t>
  </si>
  <si>
    <t>4)</t>
  </si>
  <si>
    <t xml:space="preserve">Altri Contributi: Enti Pubblici e Privati </t>
  </si>
  <si>
    <t>AOIR06</t>
  </si>
  <si>
    <t>5)</t>
  </si>
  <si>
    <t>Entrate proprie - Vincolo</t>
  </si>
  <si>
    <t>AOIR13</t>
  </si>
  <si>
    <t>6)</t>
  </si>
  <si>
    <t>Proventi Finanziari e Straordinari</t>
  </si>
  <si>
    <t>AOIR10</t>
  </si>
  <si>
    <t>7)</t>
  </si>
  <si>
    <t>Utilizzo Contributi anni precedenti</t>
  </si>
  <si>
    <t>Sezione C:</t>
  </si>
  <si>
    <t>RICAVI DI PRODUZIONE</t>
  </si>
  <si>
    <t>C8TOT</t>
  </si>
  <si>
    <t>8)</t>
  </si>
  <si>
    <t>Prestazioni di ricovero</t>
  </si>
  <si>
    <t>AOIR01</t>
  </si>
  <si>
    <t>Lombardi</t>
  </si>
  <si>
    <t>Lombardi onere 9 Stranieri STP</t>
  </si>
  <si>
    <t xml:space="preserve">Legge 7 </t>
  </si>
  <si>
    <t>Mobilità attiva extraregione</t>
  </si>
  <si>
    <t>Mobilità attiva internazionale (oneri 7)</t>
  </si>
  <si>
    <t>C9TOT</t>
  </si>
  <si>
    <t>9)</t>
  </si>
  <si>
    <t>Prestazioni specialistica ambulatoriale</t>
  </si>
  <si>
    <t>AOIR03</t>
  </si>
  <si>
    <t>AOIR05</t>
  </si>
  <si>
    <t>Screening</t>
  </si>
  <si>
    <t>C10TOT</t>
  </si>
  <si>
    <t>10)</t>
  </si>
  <si>
    <t>Prestazioni Neuropsichiatria Infantile (compreso fuori regione e progetti)</t>
  </si>
  <si>
    <t>AOIR04</t>
  </si>
  <si>
    <t>Lombardi (compreso progetti)</t>
  </si>
  <si>
    <t>C11_TOT</t>
  </si>
  <si>
    <t>11)</t>
  </si>
  <si>
    <t>Prestazioni di Psichiatria (compreso fuori regione e progetti)</t>
  </si>
  <si>
    <t>AOIR08</t>
  </si>
  <si>
    <t>Fuori regione</t>
  </si>
  <si>
    <t>C12TOT</t>
  </si>
  <si>
    <t>12)</t>
  </si>
  <si>
    <t>Farmaci di file F</t>
  </si>
  <si>
    <t>AOIR09</t>
  </si>
  <si>
    <t xml:space="preserve">File F lombardi compreso carcerati </t>
  </si>
  <si>
    <t>File F HCV</t>
  </si>
  <si>
    <t>HCV fuori regione</t>
  </si>
  <si>
    <t>File F fuori regione</t>
  </si>
  <si>
    <t>File F stranieri</t>
  </si>
  <si>
    <t>C13TOT</t>
  </si>
  <si>
    <t>13)</t>
  </si>
  <si>
    <t>Prestazioni sanitarie</t>
  </si>
  <si>
    <t>AOIR15</t>
  </si>
  <si>
    <t>Doppio canale e Primo ciclo lombardi</t>
  </si>
  <si>
    <t>Doppio canale e Primo ciclo fuori regione</t>
  </si>
  <si>
    <t>Doppio canale e Primo ciclo stranieri</t>
  </si>
  <si>
    <t>Subacuti</t>
  </si>
  <si>
    <t>Reti sanitarie</t>
  </si>
  <si>
    <t>Hospice</t>
  </si>
  <si>
    <t xml:space="preserve">CURE PALLIATIVE DOMICILIARI (INCLUSE EX NUOVE RETI) </t>
  </si>
  <si>
    <t xml:space="preserve"> CURE PALLIATIVE RESIDENZIALI (INCLUSO HOSPICE) </t>
  </si>
  <si>
    <t>Atre prestazioni sanitarie e socio sanitarie (compresi ricavi per prestazioni socio sanitarie rese da Udo a gestione diretta)</t>
  </si>
  <si>
    <t>Sezione D:</t>
  </si>
  <si>
    <t>COSTI - (vincoli di costo secondo le specifiche del testo del Decreto)</t>
  </si>
  <si>
    <t>D1TOT</t>
  </si>
  <si>
    <t>Totale costi (al netto della ALP e dei costi capitalizzati)</t>
  </si>
  <si>
    <t>AOIC01</t>
  </si>
  <si>
    <t>Costo del personale (escluso Irap)</t>
  </si>
  <si>
    <t>ONPERS</t>
  </si>
  <si>
    <t>Personale con oneri riflessi</t>
  </si>
  <si>
    <t>ONCOMP</t>
  </si>
  <si>
    <t>RAR comparto con oneri riflessi</t>
  </si>
  <si>
    <t>ONDIR</t>
  </si>
  <si>
    <t>RAR dirigenza con oneri riflessi</t>
  </si>
  <si>
    <t>AOIC02</t>
  </si>
  <si>
    <t>Irap (su personale dipendente)</t>
  </si>
  <si>
    <t>AOIC04</t>
  </si>
  <si>
    <t>Beni e servizi</t>
  </si>
  <si>
    <t>AOIC17</t>
  </si>
  <si>
    <t>Integrativa e protesica</t>
  </si>
  <si>
    <t>AOIC06</t>
  </si>
  <si>
    <t>Altri costi</t>
  </si>
  <si>
    <t>AOIC05</t>
  </si>
  <si>
    <t>Ammortamenti (al netto dei costi capitalizzati)</t>
  </si>
  <si>
    <t>AOIC07</t>
  </si>
  <si>
    <t>Accantonamenti</t>
  </si>
  <si>
    <t>AOIC08</t>
  </si>
  <si>
    <t>Oneri finanziari e straordinari</t>
  </si>
  <si>
    <t>NOTA0</t>
  </si>
  <si>
    <t>NOTE:</t>
  </si>
  <si>
    <t>NOTA1</t>
  </si>
  <si>
    <t>NOTA2</t>
  </si>
  <si>
    <t>NOTA3</t>
  </si>
  <si>
    <t>NOTA4</t>
  </si>
  <si>
    <t>NOTA5</t>
  </si>
  <si>
    <t>NOTA6</t>
  </si>
  <si>
    <t>NOTA7</t>
  </si>
  <si>
    <t>NOTA8</t>
  </si>
  <si>
    <t>NOTA9</t>
  </si>
  <si>
    <t>NOTA10</t>
  </si>
  <si>
    <t>NOTA11</t>
  </si>
  <si>
    <t>NOTA12</t>
  </si>
  <si>
    <t>ASSEGNAZIONE SALUTE</t>
  </si>
  <si>
    <t>TRIC_NOALP</t>
  </si>
  <si>
    <t>TOTALE RICAVI AL NETTO ALP</t>
  </si>
  <si>
    <t>TCOS_NOALP</t>
  </si>
  <si>
    <t>TOTALE COSTI AL NETTO ALP</t>
  </si>
  <si>
    <t>AOIR07</t>
  </si>
  <si>
    <t>RICAVI: Libera professione (art. 55 CCNL)</t>
  </si>
  <si>
    <t>AOIC03</t>
  </si>
  <si>
    <t>COSTI: Libera professione (art. 55 CCNL) + IRAP</t>
  </si>
  <si>
    <t>AOIR11_R</t>
  </si>
  <si>
    <t>Rettifica  - Contributi da Regione per quota F.S. Regionale</t>
  </si>
  <si>
    <t>AOIR12_R</t>
  </si>
  <si>
    <t>Rettifica  - altri contributi</t>
  </si>
  <si>
    <t>TOTRIC</t>
  </si>
  <si>
    <t xml:space="preserve">TOTALE RICAVI </t>
  </si>
  <si>
    <t>TOTCOS</t>
  </si>
  <si>
    <t xml:space="preserve">TOTALE COSTI </t>
  </si>
  <si>
    <t>RISES</t>
  </si>
  <si>
    <t>RISULTATO D'ESERCIZIO</t>
  </si>
  <si>
    <t>Azienda:</t>
  </si>
  <si>
    <t>Codice NI Regione</t>
  </si>
  <si>
    <t>Sanitario</t>
  </si>
  <si>
    <t>Territoriale</t>
  </si>
  <si>
    <t>SAN+TER</t>
  </si>
  <si>
    <t>Credito v/Regione</t>
  </si>
  <si>
    <t>Ricavo</t>
  </si>
  <si>
    <t>Descrizione dettaglio</t>
  </si>
  <si>
    <t>ASSEGN.1</t>
  </si>
  <si>
    <t>1.20.20.20.010.030.40.000</t>
  </si>
  <si>
    <t>4.10.10.10.045.000.00.000</t>
  </si>
  <si>
    <t>Contributo Pssr, progetti obiettivo, etc. - FSR Indistinto</t>
  </si>
  <si>
    <t>ASSEGN.2</t>
  </si>
  <si>
    <t>1.20.20.20.010.030.30.000</t>
  </si>
  <si>
    <t>4.10.10.10.020.000.00.000</t>
  </si>
  <si>
    <t>Funzioni non tariffate - FSR Indistinto</t>
  </si>
  <si>
    <t>ASSEGN.3</t>
  </si>
  <si>
    <t>ASSEGN.4</t>
  </si>
  <si>
    <t>1.20.20.20.010.090.00.000</t>
  </si>
  <si>
    <t>4.10.10.10.090.000.00.000</t>
  </si>
  <si>
    <t>Equiparazione finanziaria</t>
  </si>
  <si>
    <t>ASSEGN.5</t>
  </si>
  <si>
    <t>RAR (compresi oneri e Irap)</t>
  </si>
  <si>
    <t>ASSEGN.6</t>
  </si>
  <si>
    <t>Sanità penitenziaria</t>
  </si>
  <si>
    <t>ASSEGN.7</t>
  </si>
  <si>
    <t>Contributo riallineamento funzioni anno 2014</t>
  </si>
  <si>
    <t>ASSEGN.8</t>
  </si>
  <si>
    <t>Contributo Esacri in attesa di definizione a Riparto</t>
  </si>
  <si>
    <t>ASSEGN.9</t>
  </si>
  <si>
    <t>Contributo abbattimento File F</t>
  </si>
  <si>
    <t>ASSEGN.10</t>
  </si>
  <si>
    <t>Contributo per accantonamenti franchigie/SIR e autoassicurazione</t>
  </si>
  <si>
    <t>ASSEGN.11</t>
  </si>
  <si>
    <t>ASSEGN.12</t>
  </si>
  <si>
    <t>Contributi Nuovi Ospedali</t>
  </si>
  <si>
    <t>ASSEGN.13</t>
  </si>
  <si>
    <t>Altri contributi regione: progetti</t>
  </si>
  <si>
    <t>ASSEGN.14</t>
  </si>
  <si>
    <t>Altri contributi regione: storicizzazione anni precedenti</t>
  </si>
  <si>
    <t>ASSEGN.15</t>
  </si>
  <si>
    <t>Contributi per rinnovi contrattuali</t>
  </si>
  <si>
    <t>ASSEGN.16</t>
  </si>
  <si>
    <t>ASSEGN.17</t>
  </si>
  <si>
    <t>ASSEGN.18</t>
  </si>
  <si>
    <t>4.10.10.10.012.000.00.000</t>
  </si>
  <si>
    <t>Altri contributi regione: TERRITORIALE</t>
  </si>
  <si>
    <t>ASSEGN.19</t>
  </si>
  <si>
    <t>Legge 210: TERRITORIALE</t>
  </si>
  <si>
    <t>ASSEGN.20</t>
  </si>
  <si>
    <t>4.10.10.10.095.000.00.000</t>
  </si>
  <si>
    <t>Altri contributi da Regione per servizi socio-sanitari (ASSI)-(FSR indistinto) Contributo regionale</t>
  </si>
  <si>
    <t>ASSEGN.21</t>
  </si>
  <si>
    <t>ASSEGN.22</t>
  </si>
  <si>
    <t>ASSEGN.23</t>
  </si>
  <si>
    <t>1.20.20.20.010.030.50.000</t>
  </si>
  <si>
    <t>4.10.10.10.210.000.00.000</t>
  </si>
  <si>
    <t>Sanità Penitenziaria</t>
  </si>
  <si>
    <t>ASSEGN.24</t>
  </si>
  <si>
    <t>Altri contributi FSR vincolato</t>
  </si>
  <si>
    <t>ASSEGN.25</t>
  </si>
  <si>
    <t>ASSEGN.26</t>
  </si>
  <si>
    <t>1.20.20.20.010.030.60.000</t>
  </si>
  <si>
    <t>4.10.10.20.010.030.00.000</t>
  </si>
  <si>
    <t>Altri contributi Extra Fondo</t>
  </si>
  <si>
    <t>ASSEGN.27</t>
  </si>
  <si>
    <t>4.10.10.20.020.040.00.000</t>
  </si>
  <si>
    <t>Contributi obbligatori L. 210/92 (extra fondo) - Vincolati</t>
  </si>
  <si>
    <t>ASSEGN.28</t>
  </si>
  <si>
    <t>Patrimonio Netto</t>
  </si>
  <si>
    <t>ASSEGN.33</t>
  </si>
  <si>
    <t>1.20.20.20.020.010.00.000</t>
  </si>
  <si>
    <t>3.10.20.30.000.000.00.000</t>
  </si>
  <si>
    <t>CONTRIBUTO IN C/CAPITALE per Protesica Maggiore Investimenti</t>
  </si>
  <si>
    <t>B.II.2.b.1) Crediti v/Regione o Provincia Autonoma per finanziamenti per investimenti</t>
  </si>
  <si>
    <t>A.II.3) Finanziamenti da Regione per investimenti</t>
  </si>
  <si>
    <t>FONDO FARO</t>
  </si>
  <si>
    <t>Fondo Assicurativo</t>
  </si>
  <si>
    <t>ASSEGN.39</t>
  </si>
  <si>
    <t>3.20.20.40.000.000.00.000</t>
  </si>
  <si>
    <t>Ricostituzione Fondo Assicurativo ex FARO</t>
  </si>
  <si>
    <t>DENOMINAZIONE</t>
  </si>
  <si>
    <t xml:space="preserve">CODICE </t>
  </si>
  <si>
    <t xml:space="preserve">I TRIMESTRE </t>
  </si>
  <si>
    <t xml:space="preserve">II TRIMESTRE </t>
  </si>
  <si>
    <t xml:space="preserve">III TRIMESTRE </t>
  </si>
  <si>
    <t xml:space="preserve">IV TRIMESTRE </t>
  </si>
  <si>
    <t>TOTALE ANNO DI COMPETENZA</t>
  </si>
  <si>
    <t>TOTALE ANNI PREGRESSI</t>
  </si>
  <si>
    <t>COMPLESSIVO CASSA</t>
  </si>
  <si>
    <t xml:space="preserve">DESCRIZIONE MOVIMENTI </t>
  </si>
  <si>
    <t>GENNAIO</t>
  </si>
  <si>
    <t>FEBBRAIO</t>
  </si>
  <si>
    <t>MARZO</t>
  </si>
  <si>
    <t>SALDO TRIMESTRE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</si>
  <si>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</si>
  <si>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</si>
  <si>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</si>
  <si>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</si>
  <si>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</si>
  <si>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</si>
  <si>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</si>
  <si>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</si>
  <si>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</si>
  <si>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COMPETENZA ESERCIZIO</t>
  </si>
  <si>
    <t>COMPETENZA ANNI PRECEDENTI</t>
  </si>
  <si>
    <t>TOTALE MESE</t>
  </si>
  <si>
    <t xml:space="preserve">SALDO INIZIALE DI TESORERIA </t>
  </si>
  <si>
    <t>ENTRATE CORRENTI</t>
  </si>
  <si>
    <t>da Regione</t>
  </si>
  <si>
    <t>SINT.IN.RL.1</t>
  </si>
  <si>
    <t xml:space="preserve"> - per Contributi in c/esercizio da Regione - FSR INDISTINTO</t>
  </si>
  <si>
    <t>SINT.IN.RL.111</t>
  </si>
  <si>
    <t xml:space="preserve"> - di cui rete territoriale ex L.R.23/2015</t>
  </si>
  <si>
    <t>SINT.IN.RL.2</t>
  </si>
  <si>
    <t xml:space="preserve"> - di cui SAN (polo ospedaliero)</t>
  </si>
  <si>
    <t>SINT.IN.RL.4</t>
  </si>
  <si>
    <t xml:space="preserve"> - per Contributi in c/esercizio da Regione - FSR VINCOLATO</t>
  </si>
  <si>
    <t>SINT.IN.RL.5</t>
  </si>
  <si>
    <t xml:space="preserve"> - per Contributi in c/esercizio da Regione - EXTRA FONDO</t>
  </si>
  <si>
    <t>SINT.IN.RL.112</t>
  </si>
  <si>
    <t xml:space="preserve"> - per beni e servizi centralizzati (Entrate virtuali a valere sul sistema G3S) RETE TERRITORIALE - IN COMPENSAZIONE</t>
  </si>
  <si>
    <t>da propria ATS per competenza POLO OSPEDALIERO</t>
  </si>
  <si>
    <t>SINT.IN.RL.114</t>
  </si>
  <si>
    <t xml:space="preserve"> - per produzione (cassa reale)</t>
  </si>
  <si>
    <t>SINT.IN.RL.115</t>
  </si>
  <si>
    <t xml:space="preserve"> - per beni e servizi centralizzati (Entrate virtuali a valere sul sistema G3S) POLO OSPEDALIERO - IN COMPENSAZIONE</t>
  </si>
  <si>
    <t>da propria ATS per competenza RETE TERRITORIALE</t>
  </si>
  <si>
    <t>SINT.IN.RL.117</t>
  </si>
  <si>
    <t xml:space="preserve"> - per gestioni dirette ex ASL Milano 1 e ASL Brescia</t>
  </si>
  <si>
    <t>SINT.IN.RL.118</t>
  </si>
  <si>
    <t xml:space="preserve"> - per cassa reale del territorio (es. IVA split)</t>
  </si>
  <si>
    <t>SINT.IN.RL.119</t>
  </si>
  <si>
    <t xml:space="preserve"> - per beni e servizi centralizzati (Tipologia 13/doppio canale) Entrate virtuali a valere sul sistema G3S</t>
  </si>
  <si>
    <t>da altri soggetti della regione</t>
  </si>
  <si>
    <t>SINT.IN.ALTRORL.8</t>
  </si>
  <si>
    <t xml:space="preserve"> - da AREU</t>
  </si>
  <si>
    <t>SINT.IN.ALTRORL.9</t>
  </si>
  <si>
    <t xml:space="preserve"> - da ARPA</t>
  </si>
  <si>
    <t>SINT.IN.ALTRORL.3</t>
  </si>
  <si>
    <t xml:space="preserve"> - da ATS/ASST/IRCCS della Regione</t>
  </si>
  <si>
    <t>SINT.IN.ALTRORL.10</t>
  </si>
  <si>
    <t xml:space="preserve"> - incassi ex gestione transitoria L.R.23/2015</t>
  </si>
  <si>
    <t xml:space="preserve">da altri soggetti </t>
  </si>
  <si>
    <t>SINT.IN.ALTRORL.115</t>
  </si>
  <si>
    <t xml:space="preserve"> - rimborsi dalle prefetture per stranieri STP</t>
  </si>
  <si>
    <t>SINT.IN.ALTRORL.116</t>
  </si>
  <si>
    <t xml:space="preserve"> - da Erogatori sanitari Privati </t>
  </si>
  <si>
    <t>SINT.IN.ALTRORL.117</t>
  </si>
  <si>
    <t xml:space="preserve"> - da altre Aziende Sanitarie fuori regione</t>
  </si>
  <si>
    <t>SINT.IN.ALTROS.1</t>
  </si>
  <si>
    <t xml:space="preserve"> - da Comune</t>
  </si>
  <si>
    <t>SINT.IN.ALTROS.2</t>
  </si>
  <si>
    <t xml:space="preserve"> - da Erario</t>
  </si>
  <si>
    <t>SINT.IN.ALTRORL.118</t>
  </si>
  <si>
    <t xml:space="preserve"> - da Stato per ricerca (solo per IRCCS)</t>
  </si>
  <si>
    <t>da entrate proprie</t>
  </si>
  <si>
    <t>SINT.IN.PROPRIE.1</t>
  </si>
  <si>
    <t xml:space="preserve"> - Entrate proprie</t>
  </si>
  <si>
    <t>SINT.IN.PROPRIE.112</t>
  </si>
  <si>
    <t xml:space="preserve"> - Altre entrate proprie per gestione territoriale</t>
  </si>
  <si>
    <t>ENTRATE PER INVESTIMENTI</t>
  </si>
  <si>
    <t>SINT.IN.INV.1</t>
  </si>
  <si>
    <t xml:space="preserve"> - finanziamenti pe investimenti da Regione</t>
  </si>
  <si>
    <t>SINT.IN.INV.2</t>
  </si>
  <si>
    <t xml:space="preserve"> - finanziamenti pe investimenti da Stato</t>
  </si>
  <si>
    <t>SINT.IN.INV.3</t>
  </si>
  <si>
    <t xml:space="preserve"> - finanziamenti pe investimenti da Unione Europea</t>
  </si>
  <si>
    <t>SINT.IN.INV.4</t>
  </si>
  <si>
    <t>finanziamenti pe investimenti da altri:</t>
  </si>
  <si>
    <t>SINT.IN.INV.5</t>
  </si>
  <si>
    <t xml:space="preserve"> - per vendite patrimoniali</t>
  </si>
  <si>
    <t>SINT.IN.INV.6</t>
  </si>
  <si>
    <t>- finanziamenti per investimenti da altri</t>
  </si>
  <si>
    <t>ALTRE ENTRATE</t>
  </si>
  <si>
    <t>SINT.IN.ALTRO.1</t>
  </si>
  <si>
    <t xml:space="preserve"> - per disaccantonamenti</t>
  </si>
  <si>
    <t>SINT.IN.ALTRO.2</t>
  </si>
  <si>
    <t xml:space="preserve"> - per mutui attivati</t>
  </si>
  <si>
    <t>SINT.IN.ALTRO.3</t>
  </si>
  <si>
    <t xml:space="preserve"> - per vendita titoli</t>
  </si>
  <si>
    <t>ENTRATE STRAORDINARIE</t>
  </si>
  <si>
    <t>SINT.IN.EXTRA.1</t>
  </si>
  <si>
    <t xml:space="preserve"> - per quota straordinaria da regione ex L.R. n.24/2014</t>
  </si>
  <si>
    <t>SINT.IN.TOT.99</t>
  </si>
  <si>
    <t>TOTALE ENTRATE</t>
  </si>
  <si>
    <t>USCITE CORRENTI</t>
  </si>
  <si>
    <t>SINT.OUT.CORR.1</t>
  </si>
  <si>
    <t>Pagamenti personale dipendente</t>
  </si>
  <si>
    <t>SINT.OUT.CORR.2</t>
  </si>
  <si>
    <t>Pagamenti personale non strutturato (collaborazioni, interinali, ecc.)</t>
  </si>
  <si>
    <t>SINT.OUT.CORR.3</t>
  </si>
  <si>
    <t>Pagamenti per IRAP, IRPEF, altri contributi</t>
  </si>
  <si>
    <t>SINT.OUT.CORR.111</t>
  </si>
  <si>
    <t>Pagamenti beni e servizi G3S (quota imponibile) POLO OSPEDALIERO - al netto IVA split</t>
  </si>
  <si>
    <t>SINT.OUT.CORR.112</t>
  </si>
  <si>
    <t>Pagamenti beni e servizi G3S (quota imponibile) RETE TERRITORIALE - al netto IVA split - in compensazione con Regione</t>
  </si>
  <si>
    <t>SINT.OUT.CORR.113</t>
  </si>
  <si>
    <t>Pagamenti beni e servizi G3S (quota imponibile) RETE TERRITORIALE - al netto IVA split - in compensazione con ATS</t>
  </si>
  <si>
    <t>SINT.OUT.CORR.114</t>
  </si>
  <si>
    <t>Pagamenti rete territoriale ex L.R. 23/2015 (Personale dip e non, beni e servizi a gestione diretta, altre voci) - al netto IVA split</t>
  </si>
  <si>
    <t>SINT.OUT.CORR.115</t>
  </si>
  <si>
    <t>Pagamenti beni e servizi a gestione diretta (quota imponibile) - al netto IVA split</t>
  </si>
  <si>
    <t>SINT.OUT.CORR.116</t>
  </si>
  <si>
    <t>Pagamenti IVA split (SAN)</t>
  </si>
  <si>
    <t>SINT.OUT.CORR.117</t>
  </si>
  <si>
    <t>Pagamenti IVA split TER</t>
  </si>
  <si>
    <t>SINT.OUT.CORR.118</t>
  </si>
  <si>
    <t>Pagamenti servizi sanitari verso ATS/ASST/IRCCS, della Regione e AREU (intercompany)</t>
  </si>
  <si>
    <t>SINT.OUT.CORR.119</t>
  </si>
  <si>
    <t>Pagamento servizi santari verso altri enti pubblici</t>
  </si>
  <si>
    <t>SINT.OUT.CORR.120</t>
  </si>
  <si>
    <t>Pagamento servizi santari verso erogatori privati</t>
  </si>
  <si>
    <t>SINT.OUT.CORR.121</t>
  </si>
  <si>
    <t>Pagamenti per ricerca (IRCCS)</t>
  </si>
  <si>
    <t>SINT.OUT.CORR.123</t>
  </si>
  <si>
    <t>Restituzione anticipi ATS per rimborsi prefetture STRANIERI STP</t>
  </si>
  <si>
    <t>SINT.OUT.CORR.24</t>
  </si>
  <si>
    <t>Pagamenti ex gestione transitoria L.R.23/2015</t>
  </si>
  <si>
    <t>USCITE PER INVESTIMENTI</t>
  </si>
  <si>
    <t>SINT.OUT.INV.1</t>
  </si>
  <si>
    <t>Rimborso mutui/altri finanziamenti</t>
  </si>
  <si>
    <t>SINT.OUT.INV.2</t>
  </si>
  <si>
    <t>Pagamenti SAL/fornitori per investimenti</t>
  </si>
  <si>
    <t>ALTRE USCITE</t>
  </si>
  <si>
    <t>SINT.OUT.ALTRO.1</t>
  </si>
  <si>
    <t>- altre uscite straordinarie</t>
  </si>
  <si>
    <t>SINT.OUT.TOT.1</t>
  </si>
  <si>
    <t>TOTALE USCITE</t>
  </si>
  <si>
    <t>SINT.FABB.TOT1</t>
  </si>
  <si>
    <t>FABBISOGNO DI PERIODO (entrate - uscite)</t>
  </si>
  <si>
    <t>SINT.FABB.TOT2</t>
  </si>
  <si>
    <t xml:space="preserve"> di cui fabbisogno per SOCIO SANITARIO</t>
  </si>
  <si>
    <t>SINT.FABB.TOT3</t>
  </si>
  <si>
    <t>SALDO FINALE (tesoreria - fabbisogno di periodo)</t>
  </si>
  <si>
    <t>SINT.FABB.TOT4</t>
  </si>
  <si>
    <t>SALDO FINALE DI TESORERIA (saldo finale - contributi + rimessa di cassa)</t>
  </si>
  <si>
    <t>SINT.AGG.1</t>
  </si>
  <si>
    <t>Anticipazione ordinaria del tesoriere utilizzata nel periodo</t>
  </si>
  <si>
    <t>SINT.AGG.2</t>
  </si>
  <si>
    <t>Giorni medi mensili di scoperto</t>
  </si>
  <si>
    <t>SINT.AGG.3</t>
  </si>
  <si>
    <t>Interessi passivi maturati (importo)</t>
  </si>
  <si>
    <t>SINT.SAN.TOT.1</t>
  </si>
  <si>
    <t>IPOTESI RIMESSA DI CASSA REGIONALE SAN (preventivo)</t>
  </si>
  <si>
    <t>SINT.TER.TOT.2</t>
  </si>
  <si>
    <t>IPOTESI RIMESSA DI CASSA REGIONALE TER (preventivo)</t>
  </si>
  <si>
    <t>SINT.SAN.TOT.3</t>
  </si>
  <si>
    <t>IPOTESI RIMESSA DI CASSA REGIONALE SAN (consuntivo)</t>
  </si>
  <si>
    <t>SINT.TER.TOT.4</t>
  </si>
  <si>
    <t>IPOTESI RIMESSA DI CASSA REGIONALE TER (consuntivo)</t>
  </si>
  <si>
    <t>SINT.COMP.G3S</t>
  </si>
  <si>
    <t>compensazione G3S regionale</t>
  </si>
  <si>
    <t>SINT.CASSA.RL</t>
  </si>
  <si>
    <t>totale cassa regionale (reale e G3S)</t>
  </si>
  <si>
    <t>BENI E SERVIZI, ALTRI ACQUISTI E FONTI DI FINANZIAMENTO</t>
  </si>
  <si>
    <t>FONTI DI FINANZIAMENTO</t>
  </si>
  <si>
    <t>POLO OSPEDALIERO</t>
  </si>
  <si>
    <t>per dettagli fare riferimento alla LEGENDA ERRORI</t>
  </si>
  <si>
    <t>ACQUISTO BENI E SERVIZI (SAN)</t>
  </si>
  <si>
    <t>Competenza esercizio</t>
  </si>
  <si>
    <t>Pagamenti netti dell'esercizio (cumulati all'ultima data del piano)</t>
  </si>
  <si>
    <t>importo contestazioni/fatture sospese</t>
  </si>
  <si>
    <t>split versato</t>
  </si>
  <si>
    <t>saldo (acquisti - pagamenti)</t>
  </si>
  <si>
    <t>voce di NI</t>
  </si>
  <si>
    <t>Importo finanziato da ATS SAN (competenza)</t>
  </si>
  <si>
    <t>compensazioni G3S effettuate con ATS (di competenza)</t>
  </si>
  <si>
    <t>cassa reale (di competenza)</t>
  </si>
  <si>
    <t>saldo (finanziato -compensato/cassa)</t>
  </si>
  <si>
    <t>BS.SAN.1</t>
  </si>
  <si>
    <t>Acquisto beni e servizi a gestione diretta</t>
  </si>
  <si>
    <t>BS.SAN.2</t>
  </si>
  <si>
    <t>Acquisto beni e servizi a gestione centralizzata</t>
  </si>
  <si>
    <t>BS.SAN.3</t>
  </si>
  <si>
    <t>totaleSAN</t>
  </si>
  <si>
    <t>BS.SAN.4</t>
  </si>
  <si>
    <t>di cui importo split payment (per Acquisto beni e servizi a gestione diretta)</t>
  </si>
  <si>
    <t>BS.SAN.5</t>
  </si>
  <si>
    <t>di cui importo split payment (per Acquisto beni e servizi a gestione centralizzata)</t>
  </si>
  <si>
    <t>RETE TERRITORIALE</t>
  </si>
  <si>
    <t>ACQUISTO BENI E SERVIZI (TER)</t>
  </si>
  <si>
    <t>Importo finanziato da ATS TER (competenza)</t>
  </si>
  <si>
    <t>Importo assegnato da RL BPE (competenza)</t>
  </si>
  <si>
    <t>compensazioni G3S effettuate con la Regione (di competenza)</t>
  </si>
  <si>
    <t>saldo (ASSEGNATO-compensato/cassa)</t>
  </si>
  <si>
    <t>BS.TER.1</t>
  </si>
  <si>
    <t>BS.TER.2</t>
  </si>
  <si>
    <t>BS.TER.3</t>
  </si>
  <si>
    <t>totaleTER</t>
  </si>
  <si>
    <t>BS.TER.4</t>
  </si>
  <si>
    <t>BS.TER.5</t>
  </si>
  <si>
    <t>BS.SAN.6</t>
  </si>
  <si>
    <t>Altro (riga di quadratura con il finanziato)</t>
  </si>
  <si>
    <t>BS.SAN.7</t>
  </si>
  <si>
    <t>totale</t>
  </si>
  <si>
    <t>TOTALI DI COMPETENZA (OSPEDALIERA + TERRITORIALE)</t>
  </si>
  <si>
    <t>TOTALE COMPETENZA</t>
  </si>
  <si>
    <t>TOTALE Pagamenti dell'esercizio (cumulati all'ultima data del piano)</t>
  </si>
  <si>
    <t>TOTALE importo contestazioni/fatture sospese</t>
  </si>
  <si>
    <t>totale split versato</t>
  </si>
  <si>
    <t>TOTALE finanziato da ATS</t>
  </si>
  <si>
    <t>TOTALE compensazioni G3S effettuate con ATS</t>
  </si>
  <si>
    <t>TOTALE cassa reale</t>
  </si>
  <si>
    <t>TOTALE finanziato da REGIONE</t>
  </si>
  <si>
    <t>TOTALE compensazioni G3S effettuate con la Regione</t>
  </si>
  <si>
    <t>BS.SANTER.TOT</t>
  </si>
  <si>
    <t>DEBITO VERSO FORNITORI PREGRESSI</t>
  </si>
  <si>
    <t>Pagamenti dell'esercizio a valere sui debiti pregressi</t>
  </si>
  <si>
    <t>importo contestazioni/sospensioni pregresse</t>
  </si>
  <si>
    <t>saldo pregresso</t>
  </si>
  <si>
    <t>Importo finanziato da ex ASL (saldi)</t>
  </si>
  <si>
    <t>compensazioni G3S effettuate con ATS (su pregresso)</t>
  </si>
  <si>
    <t>cassa reale (pregresso)</t>
  </si>
  <si>
    <t>BS.DEB.1</t>
  </si>
  <si>
    <t>gestione diretta</t>
  </si>
  <si>
    <t>BS.DEB.2</t>
  </si>
  <si>
    <t>gestione centralizzata</t>
  </si>
  <si>
    <t>BS.DEB.3</t>
  </si>
  <si>
    <t>totale debito verso fornitori</t>
  </si>
  <si>
    <t xml:space="preserve">TOTALE </t>
  </si>
  <si>
    <t>al TRIMESTRE</t>
  </si>
  <si>
    <t>Pagamenti totali</t>
  </si>
  <si>
    <t>totale split</t>
  </si>
  <si>
    <t>saldi totali</t>
  </si>
  <si>
    <t>BS.TOT.1</t>
  </si>
  <si>
    <t>BS.TOT.2</t>
  </si>
  <si>
    <t>BS.TOT.3</t>
  </si>
  <si>
    <t>CREDITI DA REGIONE  - ANNI PREGRESSI</t>
  </si>
  <si>
    <t>CREDITI VERSO REGIONE</t>
  </si>
  <si>
    <t>CRED.1</t>
  </si>
  <si>
    <t>CRED.2</t>
  </si>
  <si>
    <t>CRED.3</t>
  </si>
  <si>
    <t>CRED.4</t>
  </si>
  <si>
    <t>CRED.5</t>
  </si>
  <si>
    <t>CRED.6</t>
  </si>
  <si>
    <t>CRED.7</t>
  </si>
  <si>
    <t>CRED.TOT.1</t>
  </si>
  <si>
    <t>TOTALE ATS</t>
  </si>
  <si>
    <t>PER CREDITI CORRENTI  - DA REGIONE</t>
  </si>
  <si>
    <t>TOTALE CREDITI CORRENTI</t>
  </si>
  <si>
    <t>CRED.RL.1</t>
  </si>
  <si>
    <t>CRED.RL.2</t>
  </si>
  <si>
    <t>CRED.RL.3</t>
  </si>
  <si>
    <t>CRED.RL.4</t>
  </si>
  <si>
    <t>CRED.RL.5</t>
  </si>
  <si>
    <t>CRED.RL.6</t>
  </si>
  <si>
    <t>CRED.RL.7</t>
  </si>
  <si>
    <t>CRED.RL.8</t>
  </si>
  <si>
    <t>CRED.RL.9</t>
  </si>
  <si>
    <t>CRED.RL.10</t>
  </si>
  <si>
    <t>CRED.RL.11</t>
  </si>
  <si>
    <t>CRED.RL.12</t>
  </si>
  <si>
    <t>CRED.RL.13</t>
  </si>
  <si>
    <t>CRED.RL.14</t>
  </si>
  <si>
    <t>CRED.RL.15</t>
  </si>
  <si>
    <t>CRED.RL.16</t>
  </si>
  <si>
    <t>CRED.RL.17</t>
  </si>
  <si>
    <t>CRED.RL.18</t>
  </si>
  <si>
    <t>CRED.RL.19</t>
  </si>
  <si>
    <t>CRED.RL.20</t>
  </si>
  <si>
    <t>CRED.RL.21</t>
  </si>
  <si>
    <t>CRED.RL.22</t>
  </si>
  <si>
    <t>CRED.RL.23</t>
  </si>
  <si>
    <t>CRED.RL.24</t>
  </si>
  <si>
    <t>CRED.RL.25</t>
  </si>
  <si>
    <t>CRED.RL.26</t>
  </si>
  <si>
    <t>CRED.RL.27</t>
  </si>
  <si>
    <t>CRED.RL.28</t>
  </si>
  <si>
    <t>CRED.RL.29</t>
  </si>
  <si>
    <t>CRED.RL.30</t>
  </si>
  <si>
    <t>CRED.RL.31</t>
  </si>
  <si>
    <t>CRED.RL.32</t>
  </si>
  <si>
    <t>CRED.RL.33</t>
  </si>
  <si>
    <t>CRED.RL.34</t>
  </si>
  <si>
    <t>CRED.RL.35</t>
  </si>
  <si>
    <t>CRED.RL.36</t>
  </si>
  <si>
    <t>CRED.RL.37</t>
  </si>
  <si>
    <t>CRED.RL.38</t>
  </si>
  <si>
    <t>CRED.RL.39</t>
  </si>
  <si>
    <t>CRED.RL.40</t>
  </si>
  <si>
    <t>CRED.RL.41</t>
  </si>
  <si>
    <t>CRED.RL.42</t>
  </si>
  <si>
    <t>CRED.RL.43</t>
  </si>
  <si>
    <t>CRED.RL.44</t>
  </si>
  <si>
    <t>CRED.RL.45</t>
  </si>
  <si>
    <t>CRED.RL.46</t>
  </si>
  <si>
    <t>CRED.RL.47</t>
  </si>
  <si>
    <t>CRED.RL.48</t>
  </si>
  <si>
    <t>CRED.RL.49</t>
  </si>
  <si>
    <t>CRED.RL.50</t>
  </si>
  <si>
    <t>CRED.RL.51</t>
  </si>
  <si>
    <t>CRED.RL.52</t>
  </si>
  <si>
    <t>CRED.RL.53</t>
  </si>
  <si>
    <t>CRED.RL.54</t>
  </si>
  <si>
    <t>CRED.RL.55</t>
  </si>
  <si>
    <t>CRED.RL.56</t>
  </si>
  <si>
    <t>CRED.RL.57</t>
  </si>
  <si>
    <t>CRED.RL.58</t>
  </si>
  <si>
    <t>CRED.RL.59</t>
  </si>
  <si>
    <t>CRED.RL.60</t>
  </si>
  <si>
    <t>CRED.RL.61</t>
  </si>
  <si>
    <t>CRED.RL.62</t>
  </si>
  <si>
    <t>CRED.RL.63</t>
  </si>
  <si>
    <t>CRED.RL.64</t>
  </si>
  <si>
    <t>PER CREDITI CONTO CAPITALE  - DA REGIONE</t>
  </si>
  <si>
    <t>TOTALE CREDITI C.CAPITALE</t>
  </si>
  <si>
    <t>CRED.RL.65</t>
  </si>
  <si>
    <t xml:space="preserve"> - finanziamenti pe investimenti da Regione (specificare DGR/atto di assegnazione*)</t>
  </si>
  <si>
    <t>CRED.RL.66</t>
  </si>
  <si>
    <t>CRED.RL.67</t>
  </si>
  <si>
    <t>CRED.RL.68</t>
  </si>
  <si>
    <t>CRED.RL.69</t>
  </si>
  <si>
    <t>CRED.RL.70</t>
  </si>
  <si>
    <t>CRED.RL.71</t>
  </si>
  <si>
    <t>CRED.RL.72</t>
  </si>
  <si>
    <t>CRED.RL.73</t>
  </si>
  <si>
    <t>CRED.RL.74</t>
  </si>
  <si>
    <t>CRED.RL.75</t>
  </si>
  <si>
    <t>CRED.RL.76</t>
  </si>
  <si>
    <t>CRED.RL.77</t>
  </si>
  <si>
    <t>CRED.RL.78</t>
  </si>
  <si>
    <t>CRED.RL.79</t>
  </si>
  <si>
    <t>CRED.RL.80</t>
  </si>
  <si>
    <t>CRED.RL.81</t>
  </si>
  <si>
    <t>CRED.RL.82</t>
  </si>
  <si>
    <t>CRED.RL.83</t>
  </si>
  <si>
    <t>CRED.RL.84</t>
  </si>
  <si>
    <t>CRED.RL.85</t>
  </si>
  <si>
    <t>CRED.RL.TOT1</t>
  </si>
  <si>
    <t>TOTALE CREDITI PREGRESSI</t>
  </si>
  <si>
    <t>* IN QUADRATURA CON IL PIANO INVESTIMENTI APPROVATO</t>
  </si>
  <si>
    <t>LEGENDA ERRORI CONTROLLO SQUADRATURE</t>
  </si>
  <si>
    <t>(*) per approfondimenti vedasi la relativa circolare di Regione Lombardia</t>
  </si>
  <si>
    <t>COD.</t>
  </si>
  <si>
    <t>DESCRIZIONE(*)</t>
  </si>
  <si>
    <t>Esito Controllo</t>
  </si>
  <si>
    <t>Il Totale Finanziato da Regione Lombardia, deve essere uguale al Totale Assegnato (sezionale TER)</t>
  </si>
  <si>
    <t>Il Totale Finanziato dalle ATS (Polo Ospedaliero e Altro), deve essere uguale al Totale dei Ricavi di Produzione Assegnati</t>
  </si>
  <si>
    <t>L'Importo Finanziato da ATS (Rete Territoriale) a Gestione Centralizzata, deve essere uguale all'Assegnazione Doppio Canale - tip. 13</t>
  </si>
  <si>
    <t>Il totale degli acquisti a gestione diretta TER deve essere uguale al finanziamento da ATS + il finanziamento da RL</t>
  </si>
  <si>
    <t>Il totale degli acquisti a gestione centralizzata TER deve essere uguale al finanziamento da ATS + il finanziamento da RL</t>
  </si>
  <si>
    <t>SPLIT</t>
  </si>
  <si>
    <t>Ciascuna delle celle relative allo split (celle C13, C14, C22, C23, M22, M23, R22, R23) deve essere valorizzata con un importo maggiore di zero</t>
  </si>
  <si>
    <t>CODICE</t>
  </si>
  <si>
    <t>ENTE_RIF</t>
  </si>
  <si>
    <t>ENTE_ASSOC</t>
  </si>
  <si>
    <t>LR23_EX1_702</t>
  </si>
  <si>
    <t>702 - ASST SANTI PAOLO E CARLO</t>
  </si>
  <si>
    <t>COD_CERCA</t>
  </si>
  <si>
    <t>TAB</t>
  </si>
  <si>
    <t>CODENTE</t>
  </si>
  <si>
    <t>VAL1</t>
  </si>
  <si>
    <t>VAL2</t>
  </si>
  <si>
    <t>VAL3</t>
  </si>
  <si>
    <t>VAL4</t>
  </si>
  <si>
    <t>VERS_DECR</t>
  </si>
  <si>
    <t>TAB1_702_ASSEGN.1</t>
  </si>
  <si>
    <t>TAB1</t>
  </si>
  <si>
    <t>TAB1_702_ASSEGN.10</t>
  </si>
  <si>
    <t>TAB1_702_ASSEGN.11</t>
  </si>
  <si>
    <t>TAB1_702_ASSEGN.12</t>
  </si>
  <si>
    <t>TAB1_702_ASSEGN.13</t>
  </si>
  <si>
    <t>TAB1_702_ASSEGN.14</t>
  </si>
  <si>
    <t>TAB1_702_ASSEGN.18</t>
  </si>
  <si>
    <t>TAB1_702_ASSEGN.19</t>
  </si>
  <si>
    <t>TAB1_702_ASSEGN.2</t>
  </si>
  <si>
    <t>TAB1_702_ASSEGN.20</t>
  </si>
  <si>
    <t>TAB1_702_ASSEGN.23</t>
  </si>
  <si>
    <t>TAB1_702_ASSEGN.24</t>
  </si>
  <si>
    <t>TAB1_702_ASSEGN.26</t>
  </si>
  <si>
    <t>TAB1_702_ASSEGN.27</t>
  </si>
  <si>
    <t>TAB1_702_ASSEGN.33</t>
  </si>
  <si>
    <t>TAB1_702_ASSEGN.39</t>
  </si>
  <si>
    <t>TAB1_702_ASSEGN.4</t>
  </si>
  <si>
    <t>TAB1_702_ASSEGN.45</t>
  </si>
  <si>
    <t>ASSEGN.45</t>
  </si>
  <si>
    <t>TAB1_702_ASSEGN.46</t>
  </si>
  <si>
    <t>ASSEGN.46</t>
  </si>
  <si>
    <t>TAB1_702_ASSEGN.47</t>
  </si>
  <si>
    <t>ASSEGN.47</t>
  </si>
  <si>
    <t>TAB1_702_ASSEGN.5</t>
  </si>
  <si>
    <t>TAB1_702_ASSEGN.6</t>
  </si>
  <si>
    <t>TAB1_702_ASSEGN.7</t>
  </si>
  <si>
    <t>TAB1_702_ASSEGN.8</t>
  </si>
  <si>
    <t>TAB1_702_ASSEGN.9</t>
  </si>
  <si>
    <t>VAL5</t>
  </si>
  <si>
    <t>VAL6</t>
  </si>
  <si>
    <t>702_A1TOT_1</t>
  </si>
  <si>
    <t>A1TOT_1</t>
  </si>
  <si>
    <t>702_AOIC01_1</t>
  </si>
  <si>
    <t>AOIC01_1</t>
  </si>
  <si>
    <t>702_AOIC02_1</t>
  </si>
  <si>
    <t>AOIC02_1</t>
  </si>
  <si>
    <t>702_AOIC03_1</t>
  </si>
  <si>
    <t>AOIC03_1</t>
  </si>
  <si>
    <t>702_AOIC04_1</t>
  </si>
  <si>
    <t>AOIC04_1</t>
  </si>
  <si>
    <t>702_AOIC05_1</t>
  </si>
  <si>
    <t>AOIC05_1</t>
  </si>
  <si>
    <t>702_AOIC06_1</t>
  </si>
  <si>
    <t>AOIC06_1</t>
  </si>
  <si>
    <t>702_AOIC07_1</t>
  </si>
  <si>
    <t>AOIC07_1</t>
  </si>
  <si>
    <t>702_AOIC08_1</t>
  </si>
  <si>
    <t>AOIC08_1</t>
  </si>
  <si>
    <t>702_AOIC17_1</t>
  </si>
  <si>
    <t>AOIC17_1</t>
  </si>
  <si>
    <t>702_AOIR01_1</t>
  </si>
  <si>
    <t>AOIR01_1</t>
  </si>
  <si>
    <t>702_AOIR01_2</t>
  </si>
  <si>
    <t>AOIR01_2</t>
  </si>
  <si>
    <t>702_AOIR01_3</t>
  </si>
  <si>
    <t>AOIR01_3</t>
  </si>
  <si>
    <t>702_AOIR01_5</t>
  </si>
  <si>
    <t>AOIR01_5</t>
  </si>
  <si>
    <t>702_AOIR01_6</t>
  </si>
  <si>
    <t>AOIR01_6</t>
  </si>
  <si>
    <t>702_AOIR02_1</t>
  </si>
  <si>
    <t>AOIR02_1</t>
  </si>
  <si>
    <t>702_AOIR03_1</t>
  </si>
  <si>
    <t>AOIR03_1</t>
  </si>
  <si>
    <t>702_AOIR03_2</t>
  </si>
  <si>
    <t>AOIR03_2</t>
  </si>
  <si>
    <t>702_AOIR03_3</t>
  </si>
  <si>
    <t>AOIR03_3</t>
  </si>
  <si>
    <t>702_AOIR03_5</t>
  </si>
  <si>
    <t>AOIR03_5</t>
  </si>
  <si>
    <t>702_AOIR04_1</t>
  </si>
  <si>
    <t>AOIR04_1</t>
  </si>
  <si>
    <t>702_AOIR04_2</t>
  </si>
  <si>
    <t>AOIR04_2</t>
  </si>
  <si>
    <t>702_AOIR05_1</t>
  </si>
  <si>
    <t>AOIR05_1</t>
  </si>
  <si>
    <t>702_AOIR06_1</t>
  </si>
  <si>
    <t>AOIR06_1</t>
  </si>
  <si>
    <t>702_AOIR07_1</t>
  </si>
  <si>
    <t>AOIR07_1</t>
  </si>
  <si>
    <t>702_AOIR08_1</t>
  </si>
  <si>
    <t>AOIR08_1</t>
  </si>
  <si>
    <t>702_AOIR08_2</t>
  </si>
  <si>
    <t>AOIR08_2</t>
  </si>
  <si>
    <t>702_AOIR09_1</t>
  </si>
  <si>
    <t>AOIR09_1</t>
  </si>
  <si>
    <t>702_AOIR09_2</t>
  </si>
  <si>
    <t>AOIR09_2</t>
  </si>
  <si>
    <t>702_AOIR09_3</t>
  </si>
  <si>
    <t>AOIR09_3</t>
  </si>
  <si>
    <t>702_AOIR09_4</t>
  </si>
  <si>
    <t>AOIR09_4</t>
  </si>
  <si>
    <t>702_AOIR09_5</t>
  </si>
  <si>
    <t>AOIR09_5</t>
  </si>
  <si>
    <t>702_AOIR10_1</t>
  </si>
  <si>
    <t>AOIR10_1</t>
  </si>
  <si>
    <t>702_AOIR11_1</t>
  </si>
  <si>
    <t>AOIR11_1</t>
  </si>
  <si>
    <t>702_AOIR11_2</t>
  </si>
  <si>
    <t>AOIR11_2</t>
  </si>
  <si>
    <t>702_AOIR11_3</t>
  </si>
  <si>
    <t>AOIR11_3</t>
  </si>
  <si>
    <t>702_AOIR11_4</t>
  </si>
  <si>
    <t>AOIR11_4</t>
  </si>
  <si>
    <t>702_AOIR11_R_1</t>
  </si>
  <si>
    <t>AOIR11_R_1</t>
  </si>
  <si>
    <t>702_AOIR12_1</t>
  </si>
  <si>
    <t>AOIR12_1</t>
  </si>
  <si>
    <t>702_AOIR12_R_1</t>
  </si>
  <si>
    <t>AOIR12_R_1</t>
  </si>
  <si>
    <t>702_AOIR13_1</t>
  </si>
  <si>
    <t>AOIR13_1</t>
  </si>
  <si>
    <t>702_AOIR14_1</t>
  </si>
  <si>
    <t>AOIR14_1</t>
  </si>
  <si>
    <t>702_AOIR15_1</t>
  </si>
  <si>
    <t>AOIR15_1</t>
  </si>
  <si>
    <t>702_AOIR15_2</t>
  </si>
  <si>
    <t>AOIR15_2</t>
  </si>
  <si>
    <t>702_AOIR15_3</t>
  </si>
  <si>
    <t>AOIR15_3</t>
  </si>
  <si>
    <t>702_AOIR15_4</t>
  </si>
  <si>
    <t>AOIR15_4</t>
  </si>
  <si>
    <t>702_AOIR15_5</t>
  </si>
  <si>
    <t>AOIR15_5</t>
  </si>
  <si>
    <t>702_AOIR15_6</t>
  </si>
  <si>
    <t>AOIR15_6</t>
  </si>
  <si>
    <t>702_AOIR15_7</t>
  </si>
  <si>
    <t>AOIR15_7</t>
  </si>
  <si>
    <t>702_AOIR15_8</t>
  </si>
  <si>
    <t>AOIR15_8</t>
  </si>
  <si>
    <t>702_AOIR15_9</t>
  </si>
  <si>
    <t>AOIR15_9</t>
  </si>
  <si>
    <t>702_C10TOT_1</t>
  </si>
  <si>
    <t>C10TOT_1</t>
  </si>
  <si>
    <t>702_C11TOT_1</t>
  </si>
  <si>
    <t>C11TOT_1</t>
  </si>
  <si>
    <t>702_C12TOT_1</t>
  </si>
  <si>
    <t>C12TOT_1</t>
  </si>
  <si>
    <t>702_C13TOT_1</t>
  </si>
  <si>
    <t>C13TOT_1</t>
  </si>
  <si>
    <t>702_C8TOT_1</t>
  </si>
  <si>
    <t>C8TOT_1</t>
  </si>
  <si>
    <t>702_C9TOT_1</t>
  </si>
  <si>
    <t>C9TOT_1</t>
  </si>
  <si>
    <t>702_D1TOT_1</t>
  </si>
  <si>
    <t>D1TOT_1</t>
  </si>
  <si>
    <t>702_ONCOMP_1</t>
  </si>
  <si>
    <t>ONCOMP_1</t>
  </si>
  <si>
    <t>702_ONDIR_1</t>
  </si>
  <si>
    <t>ONDIR_1</t>
  </si>
  <si>
    <t>702_ONPERS_1</t>
  </si>
  <si>
    <t>ONPERS_1</t>
  </si>
  <si>
    <t>702_RISES_1</t>
  </si>
  <si>
    <t>RISES_1</t>
  </si>
  <si>
    <t>702_TCOS_NOALP_1</t>
  </si>
  <si>
    <t>TCOS_NOALP_1</t>
  </si>
  <si>
    <t>702_TOTCOS_1</t>
  </si>
  <si>
    <t>TOTCOS_1</t>
  </si>
  <si>
    <t>702_TOTRIC_1</t>
  </si>
  <si>
    <t>TOTRIC_1</t>
  </si>
  <si>
    <t>702_TRIC_NOALP_1</t>
  </si>
  <si>
    <t>TRIC_NOALP_1</t>
  </si>
  <si>
    <t>NOTA</t>
  </si>
  <si>
    <t>anno</t>
  </si>
  <si>
    <t>periodo</t>
  </si>
  <si>
    <t>codente</t>
  </si>
  <si>
    <t>max_vers</t>
  </si>
  <si>
    <t>Preventivo</t>
  </si>
  <si>
    <t>FUNZIONI NON TARIFFATE - SC DECRETO N. 3912 del 12/05/2014</t>
  </si>
  <si>
    <t>FUNZIONI NON TARIFFATE - SC DECRETO N. 7203 del 09/09/2015</t>
  </si>
  <si>
    <t>FUNZIONI NON TARIFFATE - SP DECRETO N. 4287 del 16/05/2016</t>
  </si>
  <si>
    <t>FUNZIONI NON TARIFFATE  - ASST DECRETO N. 5650 del 17/05/2017</t>
  </si>
  <si>
    <t>FUNZIONI NON TARIFFATE  - decreto n. 14513 del 10/10/2018</t>
  </si>
  <si>
    <t>OBIETTIVI PSSR - SC ANNO 2011</t>
  </si>
  <si>
    <t>OBIETTIVI PSSR - SC ANNO 2014</t>
  </si>
  <si>
    <t>OBIETTIVI PSSR - SP - DECRETO 3912 DEL 29/5/2014 ANNO 2012</t>
  </si>
  <si>
    <t>OBIETTIVI PSSR - decreto n. 14513 del 10/10/2018</t>
  </si>
  <si>
    <t>ALTRI CONTRIBUTI VARI EX SAN PAOLO ES. 2011-2015</t>
  </si>
  <si>
    <t>ALTRI CONTRIBUTI VARI EX SAN CARLO ES. &lt;2011-2015</t>
  </si>
  <si>
    <t>ALTRI CONTRIBUTI DA REGIONE - CONTRIBUTO PER ACCANTONAMENTO FRANCHIGIE E AUTOASSICURAZIONE ASST N. 5650 del 17/05/2017</t>
  </si>
  <si>
    <t>ALTRI CONTRIBUTI DA REGIONE - RICONOSCIMENTO DRG RICOVERO CITTADINI EXTRACOMUNITARI CODICE COOPINT 20416.0003 ASST N. 5650 del 17/05/2017</t>
  </si>
  <si>
    <t>ALTRI CONTRIBUTI DA REGIONE - FORMAZIONE PERSONALE IN SERVIZIO REPARTI MALATTIE INFETTIVE O ASSISTENZA CASI DI AIDS ASST N. 5650 del 17/05/2017</t>
  </si>
  <si>
    <t>ALTRI CONTRIBUTI DA REGIONE - CONTRIBUTO PER ACCANTONAMENTO FRANCHIGIE E AUTOASSICURAZIONE ASST - Decreto n. 4725 del 04/04/2018</t>
  </si>
  <si>
    <t>ALTRI CONTRIBUTI DA REGIONE - CONTRIBUTO PER AREA TERRITORIALE - Decreto n. 4725 del 04/04/2018</t>
  </si>
  <si>
    <t>ALTRI CONTRIBUTI DA REGIONE  -  SAN + TER decreto n. 14513 del 10/10/2018</t>
  </si>
  <si>
    <t>SIS 1DGR N. 41397 del 12/02/991999</t>
  </si>
  <si>
    <t>PROGETTO DAMA 2001PROGETTO DAMA 2002DGR N. 3227 del 26/01/01 - DGR N. VII/4094 del 30/03/2001</t>
  </si>
  <si>
    <t>PIANO URBANO - CALL CENTER ONCOLOGICO -DGR N. 18228 del 19/07/2004</t>
  </si>
  <si>
    <t>PROGETTO "RAZIONALIZZAZIONE PERCORSI DIAGNOSTICO-TERAPEUTICI IN PAZIENTI AFFETTI DA PRECANCEROSI E NEOPLASIE" DECRETO N. 13848 del 11/12/2009</t>
  </si>
  <si>
    <t>PROGETTO "STRATEGIE INNOVATIVE PAZIENTI AD ALTO RISCHIO IN TERAPIA INTENSIVA" DECRETO N. 13465 del 22/10/2010</t>
  </si>
  <si>
    <t>PROGETTO "MODELLO ORGANIZZATIVO PER L'ASSISTENZA SANITARIA NEGLI ISTITUTI PENITENZIARI PER ADULTI IN ATTUAZIONE DELLA DGR 8120/2008" DGR N. 10184 del 13/11/2012</t>
  </si>
  <si>
    <t>PROGETTO DI RICERCA INDIPENDENTE CALL 2011  "CAPIRE PER CURARE APPROCCIO MULTIDISCIPLINARE, CLINICO E DI RICERCA ALLA SCLEROSI TUBEROSA  E LAM"DECRETO N. 9269 del 18/10/2012</t>
  </si>
  <si>
    <t>CORSO FORMAZIONE AIDS L.135/90 ANNO 2012 -DECRETO N. 3912 del 12/05/2014 -DECRETO N. 4509 del 28/05/2014 -DECRETO N. 7203 del 09/09/2015</t>
  </si>
  <si>
    <t>RICERCA INDIPENDENTE (CALL QUOTA 2012) - SCD.D.G. 5685 del 28/05/2010decreto 9269/2012</t>
  </si>
  <si>
    <t>RICERCA INNOVATIVA (QUOTA 2012) TRAUMA MONITOR - SCdecreto 2133/2011DGR 407/2011 DGR 1137/2010</t>
  </si>
  <si>
    <t>Contributo progetto MI SAFE 2004 - SCDGR 17155/2004 DGR 20772/2005</t>
  </si>
  <si>
    <t>PROGETTO PILOTA DI GESTIONE TERRITORIALE INCONTINENZA URINARIA FEMMINILEDM 10/07/2007</t>
  </si>
  <si>
    <t>ALTRI CONTRIBUTI DA REGIONE - SCD.D.G.S. 9329/2011</t>
  </si>
  <si>
    <t>CONTRIBUTO UNA TANTUM - SCD..D.G.S. 135/2013</t>
  </si>
  <si>
    <t>PROGETTO DI RICERCA INNOVATIVA PER IL MELANOMA  - SCDGR 1137/2010</t>
  </si>
  <si>
    <t>Supporto attività relative alla ricerca, alle reti di patologia sanitaria in ambito regionale e ai progetti per la medicina convenzionata - Scconvenzione e SC VARIE</t>
  </si>
  <si>
    <t>Progetto di ricerca indipendente in ambito oncologico, cardiovascolare e intensivistico denominato “Flessibilità di utilizzo secondo un modello di intensità di cura dei posti letto in terapia intensiva, sub intensiva e di tutti i letti tecnici intensivi…” - SCdecreto 13465/2010</t>
  </si>
  <si>
    <t>PERSONALE CONVENZIONATO DA ALLOCARE - SCconvenzione</t>
  </si>
  <si>
    <t>PROGETTO CODICI B/V - SCD.D.G.S. 7292/2012</t>
  </si>
  <si>
    <t>BANDO MINISTERIALE GIOVANI RICERCATORI ANNO 2009: PROGETTO DI RICERCA FINALIZZATA "GR-2009-1592029" CONVENZIONE MINISTERO SALUTE N. 281 - ANNO 2012DECRETO N. 3912 del 12/05/2014</t>
  </si>
  <si>
    <t>BANDO MINISTERIALE GIOVANI RICERCATORI ANNO 2009: PROGETTO DI RICERCA FINALIZZATA "GR-2009-1592029" CONVENZIONE MINISTERO SALUTE N. 281 - ANNO 2013DECRETO N. 4509 del 28/05/2014</t>
  </si>
  <si>
    <t>PROGETTO DI RICERCA FINALIZZATA " RF-2010-2319806 CAPNAF -FD " QUOTA 2013DECRETO N. 4509 del 28/05/14 - DGR N. 4398 del 14/11/2012 - ATTI n. 2246 del 13/03/2013 e n. 7125 del 26/07/2013</t>
  </si>
  <si>
    <t>PROGETTO PER LA PREVENZIONE ED IL CONTRASTO DEL FENOMENO DELLE MUTILAZIONI GENITALI FEMMINILI_ “PROGETTO MGF” - SCDDG 4287 del 16/05/2016</t>
  </si>
  <si>
    <t>EDILIZIA SANITARIA - DECRETO N. 5650 del 17/05/2017</t>
  </si>
  <si>
    <t>VII° A.I. RISTRUTTURAZIONE DEL P.O. SAN PAOLO - DECRETO N. 5650 del 17/05/2017</t>
  </si>
  <si>
    <t>CONTRIBUTO X INTERVENTI FINALIZZATI AL MANTENIMENTO PATRIMONIO STRUTTURALE E TECNOLOGICO - DGR N. X/7539/2017 - DECRETO N.16858/2017</t>
  </si>
  <si>
    <t>ASSEGNAZIONE CONTRIBUTI COME DA PROGRAMMA REGIONALE STRAORDINARIO DEGLI INVESTIMENTI - DGR N. X/6548 del 04/05/2017</t>
  </si>
  <si>
    <t>UTILIZZO FONDI INVESTIMENTO ES. FINANZIARIO 2017 - DGR N. X/6548 del 04/05/2017 - DECRETO N. 5824 del 19/05/2017</t>
  </si>
  <si>
    <t>SISTEMI INFORMATIVI - DGR N. X/6548 del 04/05/2017 - DECRETO N. 10819/2017</t>
  </si>
  <si>
    <t>CONTRIBUTO SANITA' PENITENZIARIA 2016 e 2018 - ASST DECRETO N. 5650 del 17/05/2017 e DECRETO N. 14513 del 10/10/2018</t>
  </si>
  <si>
    <t>1.20.20.20.000.000.00.000</t>
  </si>
  <si>
    <t>PROGRAMMA REG.LE STRAORD. INVESTIMENTI IN SANITA' - DGR N. XI/770/2018 - DECRETO N. 17098 del 22/11/22018</t>
  </si>
  <si>
    <t>PROGRAMMA REG.LE STRAORD. INVESTIMENTI IN SANITA' -DGR N. XI/1047/2018 - DECRETO N. 19045 del 18/12/2018</t>
  </si>
  <si>
    <t>CONTRIBUTI IN C/CAPITALE PER INVESTIMENTI EX SAN PAOLO ANTE 2015</t>
  </si>
  <si>
    <t>CONTRIBUTI IN C/CAPITALE PER INVESTIMENTI EX SAN CARLO ANTE 2015</t>
  </si>
  <si>
    <t>PROGRAMMA REG.LE STRAORD. INVESTIMENTI IN SANITA' - completamento P.S. e potenziamento area intensiva SAN PAOLO - DGR N. X/7767/2018 - DGR N.XI/264 del 28/06/2018</t>
  </si>
  <si>
    <t>PROGRAMMA REG.LE STRAORD. INVESTIMENTI IN SANITA' - acquisto TAC 128 strati e diagnostica digitale diretta c/o SAN PAOLO - DGR N. X/7767/2018 - DGR N.XI/264 del 28/06/2018</t>
  </si>
  <si>
    <t>PROGRAMMA REG.LE STRAORD. INVESTIMENTI IN SANITA' - investimenti per sistemi informativi - DGR N. X/7767/2018 - DGR N.X/7150/2017 - DECRETO N. 2099 del 19/02/2018</t>
  </si>
  <si>
    <t>PROGRAMMA REG.LE STRAORD. INVESTIMENTI IN SANITA' - interventi generali di implementazione infrastrutture - DGR N. XI/770/2018 - scheda 14a</t>
  </si>
  <si>
    <t>PROGRAMMA REG.LE STRAORD. INVESTIMENTI IN SANITA' - interventi di verifica e e miglioramento prestazionale all'evento sismico - DGR N. XI/770/2018 - scheda 14b</t>
  </si>
  <si>
    <t>PROGRAMMA REG.LE STRAORD. INVESTIMENTI IN SANITA' - sostituzione grandi apparecchiature, arredi e attrezzature - DGR N. XI/770/2018 - scheda 14c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</si>
</sst>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L.&quot;\ * #,##0_-;\-&quot;L.&quot;\ * #,##0_-;_-&quot;L.&quot;\ * &quot;-&quot;_-;_-@_-"/>
    <numFmt numFmtId="181" formatCode="_-[$€]\ * #,##0.00_-;\-[$€]\ * #,##0.00_-;_-[$€]\ * &quot;-&quot;??_-;_-@_-"/>
    <numFmt numFmtId="182" formatCode="dd/mm/yy"/>
    <numFmt numFmtId="183" formatCode="d/m/yyyy;@"/>
    <numFmt numFmtId="184" formatCode="#,##0_ ;[Red]\-#,##0\ "/>
    <numFmt numFmtId="185" formatCode="_-* #,##0_-;\-* #,##0_-;_-* &quot;-&quot;??_-;_-@_-"/>
    <numFmt numFmtId="186" formatCode="_-* #,##0.00_-;\-* #,##0.00_-;_-* \-??_-;_-@_-"/>
    <numFmt numFmtId="187" formatCode="#,##0.00\ ;\-#,##0.00\ ;&quot; -&quot;#\ ;@\ "/>
    <numFmt numFmtId="188" formatCode="_-[$€]\ * #,##0.00_-;\-[$€]\ * #,##0.00_-;_-[$€]\ * \-??_-;_-@_-"/>
    <numFmt numFmtId="189" formatCode="_-&quot;€ &quot;* #,##0.00_-;&quot;-€ &quot;* #,##0.00_-;_-&quot;€ &quot;* \-??_-;_-@_-"/>
    <numFmt numFmtId="190" formatCode="_-[$€-2]\ * #,##0.00_-;\-[$€-2]\ * #,##0.00_-;_-[$€-2]\ * &quot;-&quot;??_-"/>
    <numFmt numFmtId="191" formatCode="[$€]\ #,##0.00\ ;\-[$€]\ #,##0.00\ ;[$€]&quot; -&quot;#\ ;@\ "/>
    <numFmt numFmtId="192" formatCode="_-* #,##0_-;\-* #,##0_-;_-* \-_-;_-@_-"/>
    <numFmt numFmtId="193" formatCode="#,##0\ ;\-#,##0\ ;&quot; - &quot;;@\ "/>
    <numFmt numFmtId="194" formatCode="_-&quot;L.&quot;\ * #,##0.00_-;\-&quot;L.&quot;\ * #,##0.00_-;_-&quot;L.&quot;\ 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Inattivo&quot;"/>
    <numFmt numFmtId="198" formatCode="[$€-2]\ #.##000_);[Red]\([$€-2]\ #.##000\)"/>
    <numFmt numFmtId="199" formatCode="_-* #,##0.00_-;\-* #,##0.00_-;_-* &quot;-&quot;_-;_-@_-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angal"/>
      <family val="2"/>
    </font>
    <font>
      <sz val="12"/>
      <color indexed="8"/>
      <name val="Arial Narrow"/>
      <family val="2"/>
    </font>
    <font>
      <sz val="11"/>
      <color indexed="8"/>
      <name val="Verdana"/>
      <family val="2"/>
    </font>
    <font>
      <u val="single"/>
      <sz val="10"/>
      <name val="Mang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20"/>
      <color indexed="62"/>
      <name val="Calibri"/>
      <family val="2"/>
    </font>
    <font>
      <b/>
      <sz val="20"/>
      <color indexed="62"/>
      <name val="Calibri"/>
      <family val="2"/>
    </font>
    <font>
      <b/>
      <i/>
      <sz val="20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20"/>
      <color indexed="10"/>
      <name val="Calibri"/>
      <family val="2"/>
    </font>
    <font>
      <sz val="20"/>
      <name val="Calibri"/>
      <family val="2"/>
    </font>
    <font>
      <b/>
      <sz val="18"/>
      <color indexed="8"/>
      <name val="Calibri"/>
      <family val="2"/>
    </font>
    <font>
      <i/>
      <sz val="20"/>
      <name val="Calibri"/>
      <family val="2"/>
    </font>
    <font>
      <sz val="15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sz val="20"/>
      <color indexed="9"/>
      <name val="Calibri"/>
      <family val="2"/>
    </font>
    <font>
      <sz val="14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1"/>
      <name val="Book Antiqua"/>
      <family val="1"/>
    </font>
    <font>
      <sz val="10"/>
      <color indexed="8"/>
      <name val="Book Antiqua"/>
      <family val="2"/>
    </font>
    <font>
      <b/>
      <sz val="10"/>
      <color indexed="10"/>
      <name val="Book Antiqua"/>
      <family val="2"/>
    </font>
    <font>
      <sz val="10"/>
      <color indexed="10"/>
      <name val="Book Antiqua"/>
      <family val="2"/>
    </font>
    <font>
      <sz val="10"/>
      <color indexed="19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sz val="10"/>
      <color indexed="9"/>
      <name val="Book Antiqua"/>
      <family val="2"/>
    </font>
    <font>
      <b/>
      <sz val="10"/>
      <color indexed="9"/>
      <name val="Book Antiqua"/>
      <family val="2"/>
    </font>
    <font>
      <u val="single"/>
      <sz val="4.3"/>
      <color indexed="12"/>
      <name val="Calibri"/>
      <family val="2"/>
    </font>
    <font>
      <u val="single"/>
      <sz val="4.3"/>
      <color indexed="20"/>
      <name val="Calibri"/>
      <family val="2"/>
    </font>
    <font>
      <sz val="10"/>
      <color indexed="62"/>
      <name val="Book Antiqua"/>
      <family val="2"/>
    </font>
    <font>
      <b/>
      <sz val="10"/>
      <color indexed="63"/>
      <name val="Book Antiqua"/>
      <family val="2"/>
    </font>
    <font>
      <i/>
      <sz val="10"/>
      <color indexed="23"/>
      <name val="Book Antiqua"/>
      <family val="2"/>
    </font>
    <font>
      <sz val="18"/>
      <color indexed="56"/>
      <name val="Cambria"/>
      <family val="2"/>
    </font>
    <font>
      <b/>
      <sz val="10"/>
      <color indexed="8"/>
      <name val="Book Antiqua"/>
      <family val="2"/>
    </font>
    <font>
      <sz val="10"/>
      <color indexed="20"/>
      <name val="Book Antiqua"/>
      <family val="2"/>
    </font>
    <font>
      <sz val="10"/>
      <color indexed="17"/>
      <name val="Book Antiqua"/>
      <family val="2"/>
    </font>
    <font>
      <sz val="10"/>
      <color theme="1"/>
      <name val="Book Antiqua"/>
      <family val="2"/>
    </font>
    <font>
      <sz val="11"/>
      <color theme="0"/>
      <name val="Calibri"/>
      <family val="2"/>
    </font>
    <font>
      <sz val="10"/>
      <color theme="0"/>
      <name val="Book Antiqua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Book Antiqua"/>
      <family val="2"/>
    </font>
    <font>
      <u val="single"/>
      <sz val="4.3"/>
      <color theme="10"/>
      <name val="Calibri"/>
      <family val="2"/>
    </font>
    <font>
      <u val="single"/>
      <sz val="4.3"/>
      <color theme="11"/>
      <name val="Calibri"/>
      <family val="2"/>
    </font>
    <font>
      <sz val="11"/>
      <color rgb="FF3F3F76"/>
      <name val="Calibri"/>
      <family val="2"/>
    </font>
    <font>
      <sz val="10"/>
      <color rgb="FF3F3F76"/>
      <name val="Book Antiqu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Book Antiqua"/>
      <family val="2"/>
    </font>
    <font>
      <sz val="11"/>
      <color rgb="FFFF0000"/>
      <name val="Calibri"/>
      <family val="2"/>
    </font>
    <font>
      <sz val="10"/>
      <color rgb="FFFF0000"/>
      <name val="Book Antiqua"/>
      <family val="2"/>
    </font>
    <font>
      <i/>
      <sz val="11"/>
      <color rgb="FF7F7F7F"/>
      <name val="Calibri"/>
      <family val="2"/>
    </font>
    <font>
      <i/>
      <sz val="10"/>
      <color rgb="FF7F7F7F"/>
      <name val="Book Antiqu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Book Antiqua"/>
      <family val="2"/>
    </font>
    <font>
      <sz val="11"/>
      <color rgb="FF9C0006"/>
      <name val="Calibri"/>
      <family val="2"/>
    </font>
    <font>
      <sz val="10"/>
      <color rgb="FF9C0006"/>
      <name val="Book Antiqua"/>
      <family val="2"/>
    </font>
    <font>
      <sz val="11"/>
      <color rgb="FF006100"/>
      <name val="Calibri"/>
      <family val="2"/>
    </font>
    <font>
      <sz val="10"/>
      <color rgb="FF006100"/>
      <name val="Book Antiqua"/>
      <family val="2"/>
    </font>
    <font>
      <sz val="14"/>
      <color theme="1"/>
      <name val="Calibri"/>
      <family val="2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/>
      <right/>
      <top style="thin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/>
      <right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</borders>
  <cellStyleXfs count="20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95" fillId="5" borderId="0" applyNumberFormat="0" applyBorder="0" applyAlignment="0" applyProtection="0"/>
    <xf numFmtId="0" fontId="1" fillId="3" borderId="0" applyNumberFormat="0" applyBorder="0" applyAlignment="0" applyProtection="0"/>
    <xf numFmtId="0" fontId="95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95" fillId="10" borderId="0" applyNumberFormat="0" applyBorder="0" applyAlignment="0" applyProtection="0"/>
    <xf numFmtId="0" fontId="1" fillId="8" borderId="0" applyNumberFormat="0" applyBorder="0" applyAlignment="0" applyProtection="0"/>
    <xf numFmtId="0" fontId="95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95" fillId="15" borderId="0" applyNumberFormat="0" applyBorder="0" applyAlignment="0" applyProtection="0"/>
    <xf numFmtId="0" fontId="1" fillId="13" borderId="0" applyNumberFormat="0" applyBorder="0" applyAlignment="0" applyProtection="0"/>
    <xf numFmtId="0" fontId="95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95" fillId="11" borderId="0" applyNumberFormat="0" applyBorder="0" applyAlignment="0" applyProtection="0"/>
    <xf numFmtId="0" fontId="1" fillId="17" borderId="0" applyNumberFormat="0" applyBorder="0" applyAlignment="0" applyProtection="0"/>
    <xf numFmtId="0" fontId="95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5" fillId="19" borderId="0" applyNumberFormat="0" applyBorder="0" applyAlignment="0" applyProtection="0"/>
    <xf numFmtId="0" fontId="1" fillId="20" borderId="0" applyNumberFormat="0" applyBorder="0" applyAlignment="0" applyProtection="0"/>
    <xf numFmtId="0" fontId="95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5" fillId="15" borderId="0" applyNumberFormat="0" applyBorder="0" applyAlignment="0" applyProtection="0"/>
    <xf numFmtId="0" fontId="1" fillId="22" borderId="0" applyNumberFormat="0" applyBorder="0" applyAlignment="0" applyProtection="0"/>
    <xf numFmtId="0" fontId="95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5" fillId="27" borderId="0" applyNumberFormat="0" applyBorder="0" applyAlignment="0" applyProtection="0"/>
    <xf numFmtId="0" fontId="1" fillId="28" borderId="0" applyNumberFormat="0" applyBorder="0" applyAlignment="0" applyProtection="0"/>
    <xf numFmtId="0" fontId="95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95" fillId="32" borderId="0" applyNumberFormat="0" applyBorder="0" applyAlignment="0" applyProtection="0"/>
    <xf numFmtId="0" fontId="1" fillId="30" borderId="0" applyNumberFormat="0" applyBorder="0" applyAlignment="0" applyProtection="0"/>
    <xf numFmtId="0" fontId="95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29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95" fillId="9" borderId="0" applyNumberFormat="0" applyBorder="0" applyAlignment="0" applyProtection="0"/>
    <xf numFmtId="0" fontId="1" fillId="17" borderId="0" applyNumberFormat="0" applyBorder="0" applyAlignment="0" applyProtection="0"/>
    <xf numFmtId="0" fontId="95" fillId="9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1" fillId="24" borderId="0" applyNumberFormat="0" applyBorder="0" applyAlignment="0" applyProtection="0"/>
    <xf numFmtId="0" fontId="95" fillId="26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95" fillId="15" borderId="0" applyNumberFormat="0" applyBorder="0" applyAlignment="0" applyProtection="0"/>
    <xf numFmtId="0" fontId="1" fillId="36" borderId="0" applyNumberFormat="0" applyBorder="0" applyAlignment="0" applyProtection="0"/>
    <xf numFmtId="0" fontId="95" fillId="15" borderId="0" applyNumberFormat="0" applyBorder="0" applyAlignment="0" applyProtection="0"/>
    <xf numFmtId="0" fontId="0" fillId="35" borderId="0" applyNumberFormat="0" applyBorder="0" applyAlignment="0" applyProtection="0"/>
    <xf numFmtId="0" fontId="9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97" fillId="26" borderId="0" applyNumberFormat="0" applyBorder="0" applyAlignment="0" applyProtection="0"/>
    <xf numFmtId="0" fontId="15" fillId="38" borderId="0" applyNumberFormat="0" applyBorder="0" applyAlignment="0" applyProtection="0"/>
    <xf numFmtId="0" fontId="97" fillId="26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15" fillId="28" borderId="0" applyNumberFormat="0" applyBorder="0" applyAlignment="0" applyProtection="0"/>
    <xf numFmtId="0" fontId="97" fillId="41" borderId="0" applyNumberFormat="0" applyBorder="0" applyAlignment="0" applyProtection="0"/>
    <xf numFmtId="0" fontId="15" fillId="28" borderId="0" applyNumberFormat="0" applyBorder="0" applyAlignment="0" applyProtection="0"/>
    <xf numFmtId="0" fontId="97" fillId="41" borderId="0" applyNumberFormat="0" applyBorder="0" applyAlignment="0" applyProtection="0"/>
    <xf numFmtId="0" fontId="96" fillId="40" borderId="0" applyNumberFormat="0" applyBorder="0" applyAlignment="0" applyProtection="0"/>
    <xf numFmtId="0" fontId="96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97" fillId="43" borderId="0" applyNumberFormat="0" applyBorder="0" applyAlignment="0" applyProtection="0"/>
    <xf numFmtId="0" fontId="15" fillId="30" borderId="0" applyNumberFormat="0" applyBorder="0" applyAlignment="0" applyProtection="0"/>
    <xf numFmtId="0" fontId="97" fillId="43" borderId="0" applyNumberFormat="0" applyBorder="0" applyAlignment="0" applyProtection="0"/>
    <xf numFmtId="0" fontId="15" fillId="32" borderId="0" applyNumberFormat="0" applyBorder="0" applyAlignment="0" applyProtection="0"/>
    <xf numFmtId="0" fontId="96" fillId="42" borderId="0" applyNumberFormat="0" applyBorder="0" applyAlignment="0" applyProtection="0"/>
    <xf numFmtId="0" fontId="96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97" fillId="9" borderId="0" applyNumberFormat="0" applyBorder="0" applyAlignment="0" applyProtection="0"/>
    <xf numFmtId="0" fontId="15" fillId="45" borderId="0" applyNumberFormat="0" applyBorder="0" applyAlignment="0" applyProtection="0"/>
    <xf numFmtId="0" fontId="97" fillId="9" borderId="0" applyNumberFormat="0" applyBorder="0" applyAlignment="0" applyProtection="0"/>
    <xf numFmtId="0" fontId="15" fillId="25" borderId="0" applyNumberFormat="0" applyBorder="0" applyAlignment="0" applyProtection="0"/>
    <xf numFmtId="0" fontId="96" fillId="44" borderId="0" applyNumberFormat="0" applyBorder="0" applyAlignment="0" applyProtection="0"/>
    <xf numFmtId="0" fontId="96" fillId="47" borderId="0" applyNumberFormat="0" applyBorder="0" applyAlignment="0" applyProtection="0"/>
    <xf numFmtId="0" fontId="15" fillId="48" borderId="0" applyNumberFormat="0" applyBorder="0" applyAlignment="0" applyProtection="0"/>
    <xf numFmtId="0" fontId="97" fillId="26" borderId="0" applyNumberFormat="0" applyBorder="0" applyAlignment="0" applyProtection="0"/>
    <xf numFmtId="0" fontId="15" fillId="48" borderId="0" applyNumberFormat="0" applyBorder="0" applyAlignment="0" applyProtection="0"/>
    <xf numFmtId="0" fontId="97" fillId="26" borderId="0" applyNumberFormat="0" applyBorder="0" applyAlignment="0" applyProtection="0"/>
    <xf numFmtId="0" fontId="96" fillId="47" borderId="0" applyNumberFormat="0" applyBorder="0" applyAlignment="0" applyProtection="0"/>
    <xf numFmtId="0" fontId="9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97" fillId="10" borderId="0" applyNumberFormat="0" applyBorder="0" applyAlignment="0" applyProtection="0"/>
    <xf numFmtId="0" fontId="15" fillId="50" borderId="0" applyNumberFormat="0" applyBorder="0" applyAlignment="0" applyProtection="0"/>
    <xf numFmtId="0" fontId="97" fillId="10" borderId="0" applyNumberFormat="0" applyBorder="0" applyAlignment="0" applyProtection="0"/>
    <xf numFmtId="0" fontId="15" fillId="11" borderId="0" applyNumberFormat="0" applyBorder="0" applyAlignment="0" applyProtection="0"/>
    <xf numFmtId="0" fontId="96" fillId="49" borderId="0" applyNumberFormat="0" applyBorder="0" applyAlignment="0" applyProtection="0"/>
    <xf numFmtId="0" fontId="98" fillId="52" borderId="1" applyNumberFormat="0" applyAlignment="0" applyProtection="0"/>
    <xf numFmtId="0" fontId="16" fillId="53" borderId="2" applyNumberFormat="0" applyAlignment="0" applyProtection="0"/>
    <xf numFmtId="0" fontId="16" fillId="6" borderId="3" applyNumberFormat="0" applyAlignment="0" applyProtection="0"/>
    <xf numFmtId="0" fontId="78" fillId="6" borderId="1" applyNumberFormat="0" applyAlignment="0" applyProtection="0"/>
    <xf numFmtId="0" fontId="16" fillId="53" borderId="2" applyNumberFormat="0" applyAlignment="0" applyProtection="0"/>
    <xf numFmtId="0" fontId="78" fillId="6" borderId="1" applyNumberFormat="0" applyAlignment="0" applyProtection="0"/>
    <xf numFmtId="0" fontId="98" fillId="52" borderId="1" applyNumberFormat="0" applyAlignment="0" applyProtection="0"/>
    <xf numFmtId="0" fontId="99" fillId="0" borderId="4" applyNumberFormat="0" applyFill="0" applyAlignment="0" applyProtection="0"/>
    <xf numFmtId="0" fontId="17" fillId="0" borderId="5" applyNumberFormat="0" applyFill="0" applyAlignment="0" applyProtection="0"/>
    <xf numFmtId="0" fontId="79" fillId="0" borderId="6" applyNumberFormat="0" applyFill="0" applyAlignment="0" applyProtection="0"/>
    <xf numFmtId="0" fontId="17" fillId="0" borderId="5" applyNumberFormat="0" applyFill="0" applyAlignment="0" applyProtection="0"/>
    <xf numFmtId="0" fontId="79" fillId="0" borderId="6" applyNumberFormat="0" applyFill="0" applyAlignment="0" applyProtection="0"/>
    <xf numFmtId="0" fontId="99" fillId="0" borderId="4" applyNumberFormat="0" applyFill="0" applyAlignment="0" applyProtection="0"/>
    <xf numFmtId="0" fontId="100" fillId="54" borderId="7" applyNumberFormat="0" applyAlignment="0" applyProtection="0"/>
    <xf numFmtId="0" fontId="18" fillId="55" borderId="8" applyNumberFormat="0" applyAlignment="0" applyProtection="0"/>
    <xf numFmtId="0" fontId="101" fillId="54" borderId="7" applyNumberFormat="0" applyAlignment="0" applyProtection="0"/>
    <xf numFmtId="0" fontId="18" fillId="55" borderId="8" applyNumberFormat="0" applyAlignment="0" applyProtection="0"/>
    <xf numFmtId="0" fontId="101" fillId="54" borderId="7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6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39" borderId="0" applyNumberFormat="0" applyBorder="0" applyAlignment="0" applyProtection="0"/>
    <xf numFmtId="0" fontId="97" fillId="58" borderId="0" applyNumberFormat="0" applyBorder="0" applyAlignment="0" applyProtection="0"/>
    <xf numFmtId="0" fontId="15" fillId="57" borderId="0" applyNumberFormat="0" applyBorder="0" applyAlignment="0" applyProtection="0"/>
    <xf numFmtId="0" fontId="97" fillId="58" borderId="0" applyNumberFormat="0" applyBorder="0" applyAlignment="0" applyProtection="0"/>
    <xf numFmtId="0" fontId="96" fillId="56" borderId="0" applyNumberFormat="0" applyBorder="0" applyAlignment="0" applyProtection="0"/>
    <xf numFmtId="0" fontId="96" fillId="59" borderId="0" applyNumberFormat="0" applyBorder="0" applyAlignment="0" applyProtection="0"/>
    <xf numFmtId="0" fontId="15" fillId="60" borderId="0" applyNumberFormat="0" applyBorder="0" applyAlignment="0" applyProtection="0"/>
    <xf numFmtId="0" fontId="97" fillId="41" borderId="0" applyNumberFormat="0" applyBorder="0" applyAlignment="0" applyProtection="0"/>
    <xf numFmtId="0" fontId="15" fillId="60" borderId="0" applyNumberFormat="0" applyBorder="0" applyAlignment="0" applyProtection="0"/>
    <xf numFmtId="0" fontId="97" fillId="4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96" fillId="59" borderId="0" applyNumberFormat="0" applyBorder="0" applyAlignment="0" applyProtection="0"/>
    <xf numFmtId="0" fontId="96" fillId="63" borderId="0" applyNumberFormat="0" applyBorder="0" applyAlignment="0" applyProtection="0"/>
    <xf numFmtId="0" fontId="15" fillId="64" borderId="0" applyNumberFormat="0" applyBorder="0" applyAlignment="0" applyProtection="0"/>
    <xf numFmtId="0" fontId="97" fillId="43" borderId="0" applyNumberFormat="0" applyBorder="0" applyAlignment="0" applyProtection="0"/>
    <xf numFmtId="0" fontId="15" fillId="64" borderId="0" applyNumberFormat="0" applyBorder="0" applyAlignment="0" applyProtection="0"/>
    <xf numFmtId="0" fontId="97" fillId="43" borderId="0" applyNumberFormat="0" applyBorder="0" applyAlignment="0" applyProtection="0"/>
    <xf numFmtId="0" fontId="96" fillId="63" borderId="0" applyNumberFormat="0" applyBorder="0" applyAlignment="0" applyProtection="0"/>
    <xf numFmtId="0" fontId="96" fillId="65" borderId="0" applyNumberFormat="0" applyBorder="0" applyAlignment="0" applyProtection="0"/>
    <xf numFmtId="0" fontId="15" fillId="45" borderId="0" applyNumberFormat="0" applyBorder="0" applyAlignment="0" applyProtection="0"/>
    <xf numFmtId="0" fontId="15" fillId="66" borderId="0" applyNumberFormat="0" applyBorder="0" applyAlignment="0" applyProtection="0"/>
    <xf numFmtId="0" fontId="97" fillId="67" borderId="0" applyNumberFormat="0" applyBorder="0" applyAlignment="0" applyProtection="0"/>
    <xf numFmtId="0" fontId="15" fillId="45" borderId="0" applyNumberFormat="0" applyBorder="0" applyAlignment="0" applyProtection="0"/>
    <xf numFmtId="0" fontId="97" fillId="67" borderId="0" applyNumberFormat="0" applyBorder="0" applyAlignment="0" applyProtection="0"/>
    <xf numFmtId="0" fontId="96" fillId="65" borderId="0" applyNumberFormat="0" applyBorder="0" applyAlignment="0" applyProtection="0"/>
    <xf numFmtId="0" fontId="96" fillId="68" borderId="0" applyNumberFormat="0" applyBorder="0" applyAlignment="0" applyProtection="0"/>
    <xf numFmtId="0" fontId="15" fillId="48" borderId="0" applyNumberFormat="0" applyBorder="0" applyAlignment="0" applyProtection="0"/>
    <xf numFmtId="0" fontId="97" fillId="68" borderId="0" applyNumberFormat="0" applyBorder="0" applyAlignment="0" applyProtection="0"/>
    <xf numFmtId="0" fontId="15" fillId="48" borderId="0" applyNumberFormat="0" applyBorder="0" applyAlignment="0" applyProtection="0"/>
    <xf numFmtId="0" fontId="97" fillId="68" borderId="0" applyNumberFormat="0" applyBorder="0" applyAlignment="0" applyProtection="0"/>
    <xf numFmtId="0" fontId="96" fillId="69" borderId="0" applyNumberFormat="0" applyBorder="0" applyAlignment="0" applyProtection="0"/>
    <xf numFmtId="0" fontId="15" fillId="70" borderId="0" applyNumberFormat="0" applyBorder="0" applyAlignment="0" applyProtection="0"/>
    <xf numFmtId="0" fontId="97" fillId="71" borderId="0" applyNumberFormat="0" applyBorder="0" applyAlignment="0" applyProtection="0"/>
    <xf numFmtId="0" fontId="15" fillId="70" borderId="0" applyNumberFormat="0" applyBorder="0" applyAlignment="0" applyProtection="0"/>
    <xf numFmtId="0" fontId="97" fillId="71" borderId="0" applyNumberFormat="0" applyBorder="0" applyAlignment="0" applyProtection="0"/>
    <xf numFmtId="0" fontId="96" fillId="69" borderId="0" applyNumberFormat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2" fillId="0" borderId="0" applyFill="0" applyBorder="0" applyAlignment="0" applyProtection="0"/>
    <xf numFmtId="170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9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8" fontId="2" fillId="0" borderId="0" applyFill="0" applyBorder="0" applyAlignment="0" applyProtection="0"/>
    <xf numFmtId="191" fontId="2" fillId="0" borderId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3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1" fontId="2" fillId="0" borderId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ill="0" applyBorder="0" applyAlignment="0" applyProtection="0"/>
    <xf numFmtId="170" fontId="2" fillId="0" borderId="0" applyFont="0" applyFill="0" applyBorder="0" applyAlignment="0" applyProtection="0"/>
    <xf numFmtId="188" fontId="2" fillId="0" borderId="0" applyFill="0" applyBorder="0" applyAlignment="0" applyProtection="0"/>
    <xf numFmtId="170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7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2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ill="0" applyBorder="0" applyAlignment="0" applyProtection="0"/>
    <xf numFmtId="170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90" fontId="2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72" borderId="1" applyNumberFormat="0" applyAlignment="0" applyProtection="0"/>
    <xf numFmtId="0" fontId="19" fillId="22" borderId="2" applyNumberFormat="0" applyAlignment="0" applyProtection="0"/>
    <xf numFmtId="0" fontId="19" fillId="11" borderId="3" applyNumberFormat="0" applyAlignment="0" applyProtection="0"/>
    <xf numFmtId="0" fontId="105" fillId="32" borderId="1" applyNumberFormat="0" applyAlignment="0" applyProtection="0"/>
    <xf numFmtId="0" fontId="19" fillId="22" borderId="2" applyNumberFormat="0" applyAlignment="0" applyProtection="0"/>
    <xf numFmtId="0" fontId="105" fillId="32" borderId="1" applyNumberFormat="0" applyAlignment="0" applyProtection="0"/>
    <xf numFmtId="0" fontId="104" fillId="7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169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>
      <alignment/>
      <protection/>
    </xf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169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69" fontId="2" fillId="0" borderId="0" applyFont="0" applyFill="0" applyBorder="0" applyAlignment="0" applyProtection="0"/>
    <xf numFmtId="192" fontId="30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3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69" fontId="2" fillId="0" borderId="0" applyFont="0" applyFill="0" applyBorder="0" applyAlignment="0" applyProtection="0"/>
    <xf numFmtId="192" fontId="30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3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3" fontId="2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3" fontId="2" fillId="0" borderId="0" applyFill="0" applyBorder="0" applyAlignment="0" applyProtection="0"/>
    <xf numFmtId="169" fontId="76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1" fillId="0" borderId="0" applyFill="0" applyBorder="0" applyAlignment="0" applyProtection="0"/>
    <xf numFmtId="169" fontId="76" fillId="0" borderId="0" applyFont="0" applyFill="0" applyBorder="0" applyAlignment="0" applyProtection="0"/>
    <xf numFmtId="192" fontId="1" fillId="0" borderId="0" applyFill="0" applyBorder="0" applyAlignment="0" applyProtection="0"/>
    <xf numFmtId="169" fontId="76" fillId="0" borderId="0" applyFont="0" applyFill="0" applyBorder="0" applyAlignment="0" applyProtection="0"/>
    <xf numFmtId="192" fontId="2" fillId="0" borderId="0" applyFill="0" applyBorder="0" applyAlignment="0" applyProtection="0"/>
    <xf numFmtId="169" fontId="76" fillId="0" borderId="0" applyFont="0" applyFill="0" applyBorder="0" applyAlignment="0" applyProtection="0"/>
    <xf numFmtId="192" fontId="2" fillId="0" borderId="0" applyFill="0" applyBorder="0" applyAlignment="0" applyProtection="0"/>
    <xf numFmtId="169" fontId="76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76" fillId="0" borderId="0" applyFont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87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7" fontId="1" fillId="0" borderId="0">
      <alignment/>
      <protection/>
    </xf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71" fontId="31" fillId="0" borderId="0" applyFont="0" applyFill="0" applyBorder="0" applyAlignment="0" applyProtection="0"/>
    <xf numFmtId="186" fontId="2" fillId="0" borderId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31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6" fontId="1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86" fontId="30" fillId="0" borderId="0" applyFill="0" applyBorder="0" applyAlignment="0" applyProtection="0"/>
    <xf numFmtId="186" fontId="2" fillId="0" borderId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71" fontId="1" fillId="0" borderId="0" applyFont="0" applyFill="0" applyBorder="0" applyAlignment="0" applyProtection="0"/>
    <xf numFmtId="186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30" fillId="0" borderId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71" fontId="1" fillId="0" borderId="0" applyFont="0" applyFill="0" applyBorder="0" applyAlignment="0" applyProtection="0"/>
    <xf numFmtId="186" fontId="1" fillId="0" borderId="0">
      <alignment/>
      <protection/>
    </xf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76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7" fontId="2" fillId="0" borderId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86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06" fillId="73" borderId="0" applyNumberFormat="0" applyBorder="0" applyAlignment="0" applyProtection="0"/>
    <xf numFmtId="0" fontId="20" fillId="74" borderId="0" applyNumberFormat="0" applyBorder="0" applyAlignment="0" applyProtection="0"/>
    <xf numFmtId="0" fontId="80" fillId="73" borderId="0" applyNumberFormat="0" applyBorder="0" applyAlignment="0" applyProtection="0"/>
    <xf numFmtId="0" fontId="20" fillId="74" borderId="0" applyNumberFormat="0" applyBorder="0" applyAlignment="0" applyProtection="0"/>
    <xf numFmtId="0" fontId="80" fillId="73" borderId="0" applyNumberFormat="0" applyBorder="0" applyAlignment="0" applyProtection="0"/>
    <xf numFmtId="0" fontId="106" fillId="7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75" borderId="9" applyNumberFormat="0" applyFont="0" applyAlignment="0" applyProtection="0"/>
    <xf numFmtId="0" fontId="2" fillId="76" borderId="10" applyNumberForma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77" fillId="75" borderId="9" applyNumberFormat="0" applyFont="0" applyAlignment="0" applyProtection="0"/>
    <xf numFmtId="0" fontId="2" fillId="76" borderId="10" applyNumberFormat="0" applyAlignment="0" applyProtection="0"/>
    <xf numFmtId="0" fontId="77" fillId="75" borderId="9" applyNumberFormat="0" applyFont="0" applyAlignment="0" applyProtection="0"/>
    <xf numFmtId="0" fontId="1" fillId="75" borderId="9" applyNumberFormat="0" applyFont="0" applyAlignment="0" applyProtection="0"/>
    <xf numFmtId="0" fontId="107" fillId="52" borderId="11" applyNumberFormat="0" applyAlignment="0" applyProtection="0"/>
    <xf numFmtId="0" fontId="21" fillId="53" borderId="12" applyNumberFormat="0" applyAlignment="0" applyProtection="0"/>
    <xf numFmtId="0" fontId="21" fillId="6" borderId="12" applyNumberFormat="0" applyAlignment="0" applyProtection="0"/>
    <xf numFmtId="0" fontId="108" fillId="6" borderId="11" applyNumberFormat="0" applyAlignment="0" applyProtection="0"/>
    <xf numFmtId="0" fontId="21" fillId="53" borderId="12" applyNumberFormat="0" applyAlignment="0" applyProtection="0"/>
    <xf numFmtId="0" fontId="108" fillId="6" borderId="11" applyNumberFormat="0" applyAlignment="0" applyProtection="0"/>
    <xf numFmtId="0" fontId="107" fillId="52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49" fontId="34" fillId="24" borderId="14">
      <alignment horizontal="center"/>
      <protection/>
    </xf>
    <xf numFmtId="49" fontId="34" fillId="24" borderId="14">
      <alignment horizontal="center"/>
      <protection/>
    </xf>
    <xf numFmtId="49" fontId="2" fillId="24" borderId="14">
      <alignment horizontal="center"/>
      <protection/>
    </xf>
    <xf numFmtId="49" fontId="2" fillId="24" borderId="14">
      <alignment horizontal="center"/>
      <protection/>
    </xf>
    <xf numFmtId="49" fontId="35" fillId="0" borderId="0">
      <alignment/>
      <protection/>
    </xf>
    <xf numFmtId="49" fontId="35" fillId="0" borderId="0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28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17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53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0" fontId="1" fillId="77" borderId="13">
      <alignment/>
      <protection/>
    </xf>
    <xf numFmtId="49" fontId="34" fillId="78" borderId="14">
      <alignment vertical="center"/>
      <protection/>
    </xf>
    <xf numFmtId="49" fontId="34" fillId="79" borderId="14">
      <alignment vertical="center"/>
      <protection/>
    </xf>
    <xf numFmtId="49" fontId="34" fillId="24" borderId="14">
      <alignment vertical="center"/>
      <protection/>
    </xf>
    <xf numFmtId="49" fontId="34" fillId="78" borderId="14">
      <alignment vertical="center"/>
      <protection/>
    </xf>
    <xf numFmtId="49" fontId="34" fillId="80" borderId="14">
      <alignment vertical="center"/>
      <protection/>
    </xf>
    <xf numFmtId="49" fontId="34" fillId="80" borderId="14">
      <alignment vertical="center"/>
      <protection/>
    </xf>
    <xf numFmtId="49" fontId="34" fillId="79" borderId="14">
      <alignment vertical="center"/>
      <protection/>
    </xf>
    <xf numFmtId="49" fontId="34" fillId="24" borderId="14">
      <alignment vertical="center"/>
      <protection/>
    </xf>
    <xf numFmtId="49" fontId="34" fillId="24" borderId="14">
      <alignment vertical="center"/>
      <protection/>
    </xf>
    <xf numFmtId="49" fontId="34" fillId="78" borderId="14">
      <alignment vertical="center"/>
      <protection/>
    </xf>
    <xf numFmtId="49" fontId="34" fillId="79" borderId="14">
      <alignment vertical="center"/>
      <protection/>
    </xf>
    <xf numFmtId="49" fontId="34" fillId="79" borderId="14">
      <alignment vertical="center"/>
      <protection/>
    </xf>
    <xf numFmtId="49" fontId="34" fillId="78" borderId="14">
      <alignment vertical="center"/>
      <protection/>
    </xf>
    <xf numFmtId="49" fontId="2" fillId="81" borderId="14">
      <alignment vertical="center"/>
      <protection/>
    </xf>
    <xf numFmtId="49" fontId="2" fillId="77" borderId="14">
      <alignment vertical="center"/>
      <protection/>
    </xf>
    <xf numFmtId="49" fontId="2" fillId="24" borderId="14">
      <alignment vertical="center"/>
      <protection/>
    </xf>
    <xf numFmtId="49" fontId="2" fillId="81" borderId="14">
      <alignment vertical="center"/>
      <protection/>
    </xf>
    <xf numFmtId="49" fontId="2" fillId="77" borderId="14">
      <alignment vertical="center"/>
      <protection/>
    </xf>
    <xf numFmtId="49" fontId="2" fillId="24" borderId="14">
      <alignment vertical="center"/>
      <protection/>
    </xf>
    <xf numFmtId="49" fontId="2" fillId="24" borderId="14">
      <alignment vertical="center"/>
      <protection/>
    </xf>
    <xf numFmtId="49" fontId="2" fillId="77" borderId="14">
      <alignment vertical="center"/>
      <protection/>
    </xf>
    <xf numFmtId="49" fontId="2" fillId="77" borderId="14">
      <alignment vertical="center"/>
      <protection/>
    </xf>
    <xf numFmtId="49" fontId="2" fillId="77" borderId="14">
      <alignment vertical="center"/>
      <protection/>
    </xf>
    <xf numFmtId="49" fontId="2" fillId="81" borderId="14">
      <alignment vertical="center"/>
      <protection/>
    </xf>
    <xf numFmtId="49" fontId="2" fillId="81" borderId="14">
      <alignment vertical="center"/>
      <protection/>
    </xf>
    <xf numFmtId="49" fontId="2" fillId="0" borderId="0">
      <alignment horizontal="right"/>
      <protection/>
    </xf>
    <xf numFmtId="49" fontId="2" fillId="0" borderId="0">
      <alignment horizontal="right"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13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" fillId="74" borderId="13">
      <alignment/>
      <protection/>
    </xf>
    <xf numFmtId="0" fontId="10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5" applyNumberFormat="0" applyFill="0" applyAlignment="0" applyProtection="0"/>
    <xf numFmtId="0" fontId="24" fillId="0" borderId="16" applyNumberFormat="0" applyFill="0" applyAlignment="0" applyProtection="0"/>
    <xf numFmtId="0" fontId="37" fillId="0" borderId="17" applyNumberFormat="0" applyFill="0" applyAlignment="0" applyProtection="0"/>
    <xf numFmtId="0" fontId="81" fillId="0" borderId="18" applyNumberFormat="0" applyFill="0" applyAlignment="0" applyProtection="0"/>
    <xf numFmtId="0" fontId="24" fillId="0" borderId="16" applyNumberFormat="0" applyFill="0" applyAlignment="0" applyProtection="0"/>
    <xf numFmtId="0" fontId="81" fillId="0" borderId="18" applyNumberFormat="0" applyFill="0" applyAlignment="0" applyProtection="0"/>
    <xf numFmtId="0" fontId="114" fillId="0" borderId="15" applyNumberFormat="0" applyFill="0" applyAlignment="0" applyProtection="0"/>
    <xf numFmtId="0" fontId="115" fillId="0" borderId="19" applyNumberFormat="0" applyFill="0" applyAlignment="0" applyProtection="0"/>
    <xf numFmtId="0" fontId="25" fillId="0" borderId="20" applyNumberFormat="0" applyFill="0" applyAlignment="0" applyProtection="0"/>
    <xf numFmtId="0" fontId="38" fillId="0" borderId="20" applyNumberFormat="0" applyFill="0" applyAlignment="0" applyProtection="0"/>
    <xf numFmtId="0" fontId="82" fillId="0" borderId="21" applyNumberFormat="0" applyFill="0" applyAlignment="0" applyProtection="0"/>
    <xf numFmtId="0" fontId="25" fillId="0" borderId="20" applyNumberFormat="0" applyFill="0" applyAlignment="0" applyProtection="0"/>
    <xf numFmtId="0" fontId="82" fillId="0" borderId="21" applyNumberFormat="0" applyFill="0" applyAlignment="0" applyProtection="0"/>
    <xf numFmtId="0" fontId="115" fillId="0" borderId="19" applyNumberFormat="0" applyFill="0" applyAlignment="0" applyProtection="0"/>
    <xf numFmtId="0" fontId="116" fillId="0" borderId="22" applyNumberFormat="0" applyFill="0" applyAlignment="0" applyProtection="0"/>
    <xf numFmtId="0" fontId="26" fillId="0" borderId="23" applyNumberFormat="0" applyFill="0" applyAlignment="0" applyProtection="0"/>
    <xf numFmtId="0" fontId="39" fillId="0" borderId="24" applyNumberFormat="0" applyFill="0" applyAlignment="0" applyProtection="0"/>
    <xf numFmtId="0" fontId="83" fillId="0" borderId="25" applyNumberFormat="0" applyFill="0" applyAlignment="0" applyProtection="0"/>
    <xf numFmtId="0" fontId="26" fillId="0" borderId="23" applyNumberFormat="0" applyFill="0" applyAlignment="0" applyProtection="0"/>
    <xf numFmtId="0" fontId="83" fillId="0" borderId="25" applyNumberFormat="0" applyFill="0" applyAlignment="0" applyProtection="0"/>
    <xf numFmtId="0" fontId="116" fillId="0" borderId="22" applyNumberFormat="0" applyFill="0" applyAlignment="0" applyProtection="0"/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8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8" applyNumberFormat="0" applyFill="0" applyAlignment="0" applyProtection="0"/>
    <xf numFmtId="0" fontId="119" fillId="0" borderId="29" applyNumberFormat="0" applyFill="0" applyAlignment="0" applyProtection="0"/>
    <xf numFmtId="0" fontId="27" fillId="0" borderId="27" applyNumberFormat="0" applyFill="0" applyAlignment="0" applyProtection="0"/>
    <xf numFmtId="0" fontId="119" fillId="0" borderId="29" applyNumberFormat="0" applyFill="0" applyAlignment="0" applyProtection="0"/>
    <xf numFmtId="0" fontId="118" fillId="0" borderId="26" applyNumberFormat="0" applyFill="0" applyAlignment="0" applyProtection="0"/>
    <xf numFmtId="0" fontId="120" fillId="82" borderId="0" applyNumberFormat="0" applyBorder="0" applyAlignment="0" applyProtection="0"/>
    <xf numFmtId="0" fontId="28" fillId="8" borderId="0" applyNumberFormat="0" applyBorder="0" applyAlignment="0" applyProtection="0"/>
    <xf numFmtId="0" fontId="121" fillId="18" borderId="0" applyNumberFormat="0" applyBorder="0" applyAlignment="0" applyProtection="0"/>
    <xf numFmtId="0" fontId="28" fillId="8" borderId="0" applyNumberFormat="0" applyBorder="0" applyAlignment="0" applyProtection="0"/>
    <xf numFmtId="0" fontId="121" fillId="18" borderId="0" applyNumberFormat="0" applyBorder="0" applyAlignment="0" applyProtection="0"/>
    <xf numFmtId="0" fontId="120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22" fillId="83" borderId="0" applyNumberFormat="0" applyBorder="0" applyAlignment="0" applyProtection="0"/>
    <xf numFmtId="0" fontId="29" fillId="13" borderId="0" applyNumberFormat="0" applyBorder="0" applyAlignment="0" applyProtection="0"/>
    <xf numFmtId="0" fontId="123" fillId="26" borderId="0" applyNumberFormat="0" applyBorder="0" applyAlignment="0" applyProtection="0"/>
    <xf numFmtId="0" fontId="29" fillId="13" borderId="0" applyNumberFormat="0" applyBorder="0" applyAlignment="0" applyProtection="0"/>
    <xf numFmtId="0" fontId="123" fillId="26" borderId="0" applyNumberFormat="0" applyBorder="0" applyAlignment="0" applyProtection="0"/>
    <xf numFmtId="0" fontId="122" fillId="8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13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84" borderId="33" xfId="0" applyFont="1" applyFill="1" applyBorder="1" applyAlignment="1">
      <alignment vertical="center"/>
    </xf>
    <xf numFmtId="0" fontId="8" fillId="0" borderId="33" xfId="0" applyFont="1" applyFill="1" applyBorder="1" applyAlignment="1" quotePrefix="1">
      <alignment vertical="center"/>
    </xf>
    <xf numFmtId="3" fontId="6" fillId="0" borderId="31" xfId="333" applyNumberFormat="1" applyFont="1" applyBorder="1" applyAlignment="1">
      <alignment horizontal="center" vertical="center" wrapText="1"/>
    </xf>
    <xf numFmtId="3" fontId="6" fillId="0" borderId="34" xfId="333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4" fillId="0" borderId="39" xfId="0" applyFont="1" applyBorder="1" applyAlignment="1">
      <alignment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4" fillId="0" borderId="41" xfId="0" applyFont="1" applyBorder="1" applyAlignment="1">
      <alignment vertical="center"/>
    </xf>
    <xf numFmtId="0" fontId="42" fillId="0" borderId="40" xfId="0" applyFont="1" applyFill="1" applyBorder="1" applyAlignment="1">
      <alignment horizontal="left" vertical="center"/>
    </xf>
    <xf numFmtId="0" fontId="42" fillId="0" borderId="41" xfId="0" applyFont="1" applyBorder="1" applyAlignment="1">
      <alignment horizontal="left" vertical="center" indent="2"/>
    </xf>
    <xf numFmtId="0" fontId="42" fillId="0" borderId="41" xfId="0" applyFont="1" applyBorder="1" applyAlignment="1">
      <alignment horizontal="left" vertical="center" wrapText="1" indent="2"/>
    </xf>
    <xf numFmtId="0" fontId="42" fillId="25" borderId="40" xfId="0" applyFont="1" applyFill="1" applyBorder="1" applyAlignment="1">
      <alignment horizontal="left" vertical="center"/>
    </xf>
    <xf numFmtId="0" fontId="42" fillId="25" borderId="41" xfId="0" applyFont="1" applyFill="1" applyBorder="1" applyAlignment="1">
      <alignment horizontal="left" vertical="center"/>
    </xf>
    <xf numFmtId="0" fontId="46" fillId="25" borderId="41" xfId="0" applyFont="1" applyFill="1" applyBorder="1" applyAlignment="1">
      <alignment vertical="center"/>
    </xf>
    <xf numFmtId="0" fontId="42" fillId="25" borderId="42" xfId="0" applyFont="1" applyFill="1" applyBorder="1" applyAlignment="1">
      <alignment horizontal="left" vertical="center"/>
    </xf>
    <xf numFmtId="0" fontId="42" fillId="25" borderId="43" xfId="0" applyFont="1" applyFill="1" applyBorder="1" applyAlignment="1">
      <alignment horizontal="left" vertical="center"/>
    </xf>
    <xf numFmtId="0" fontId="46" fillId="25" borderId="0" xfId="0" applyFont="1" applyFill="1" applyBorder="1" applyAlignment="1">
      <alignment vertical="center"/>
    </xf>
    <xf numFmtId="0" fontId="42" fillId="25" borderId="44" xfId="0" applyFont="1" applyFill="1" applyBorder="1" applyAlignment="1">
      <alignment horizontal="left" vertical="center"/>
    </xf>
    <xf numFmtId="0" fontId="42" fillId="25" borderId="45" xfId="0" applyFont="1" applyFill="1" applyBorder="1" applyAlignment="1">
      <alignment horizontal="left" vertical="center"/>
    </xf>
    <xf numFmtId="0" fontId="46" fillId="25" borderId="46" xfId="0" applyFont="1" applyFill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5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/>
    </xf>
    <xf numFmtId="0" fontId="47" fillId="25" borderId="50" xfId="0" applyFont="1" applyFill="1" applyBorder="1" applyAlignment="1">
      <alignment horizontal="center" vertical="center"/>
    </xf>
    <xf numFmtId="0" fontId="48" fillId="25" borderId="51" xfId="0" applyFont="1" applyFill="1" applyBorder="1" applyAlignment="1">
      <alignment horizontal="left" vertical="center" wrapText="1"/>
    </xf>
    <xf numFmtId="0" fontId="48" fillId="25" borderId="51" xfId="0" applyFont="1" applyFill="1" applyBorder="1" applyAlignment="1">
      <alignment horizontal="left" vertical="top" wrapText="1"/>
    </xf>
    <xf numFmtId="0" fontId="49" fillId="0" borderId="33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2" fillId="0" borderId="0" xfId="1628">
      <alignment/>
      <protection/>
    </xf>
    <xf numFmtId="0" fontId="0" fillId="0" borderId="0" xfId="0" applyAlignment="1" applyProtection="1">
      <alignment/>
      <protection/>
    </xf>
    <xf numFmtId="0" fontId="43" fillId="0" borderId="31" xfId="0" applyFont="1" applyBorder="1" applyAlignment="1" applyProtection="1">
      <alignment horizontal="left" vertical="top"/>
      <protection/>
    </xf>
    <xf numFmtId="0" fontId="43" fillId="0" borderId="31" xfId="0" applyFont="1" applyBorder="1" applyAlignment="1" applyProtection="1">
      <alignment horizontal="left" vertical="top" wrapText="1"/>
      <protection/>
    </xf>
    <xf numFmtId="0" fontId="50" fillId="0" borderId="3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2" fillId="84" borderId="33" xfId="0" applyFont="1" applyFill="1" applyBorder="1" applyAlignment="1" applyProtection="1">
      <alignment vertical="center"/>
      <protection/>
    </xf>
    <xf numFmtId="0" fontId="6" fillId="4" borderId="31" xfId="0" applyFont="1" applyFill="1" applyBorder="1" applyAlignment="1" applyProtection="1">
      <alignment horizontal="center" vertical="center" wrapText="1"/>
      <protection/>
    </xf>
    <xf numFmtId="3" fontId="53" fillId="4" borderId="31" xfId="0" applyNumberFormat="1" applyFont="1" applyFill="1" applyBorder="1" applyAlignment="1" applyProtection="1">
      <alignment horizontal="center" vertical="center" wrapText="1"/>
      <protection/>
    </xf>
    <xf numFmtId="0" fontId="54" fillId="4" borderId="52" xfId="0" applyFont="1" applyFill="1" applyBorder="1" applyAlignment="1" applyProtection="1">
      <alignment horizontal="center" vertical="center" wrapText="1"/>
      <protection/>
    </xf>
    <xf numFmtId="0" fontId="6" fillId="4" borderId="52" xfId="0" applyFont="1" applyFill="1" applyBorder="1" applyAlignment="1" applyProtection="1">
      <alignment horizontal="center" vertical="center" wrapText="1"/>
      <protection/>
    </xf>
    <xf numFmtId="0" fontId="55" fillId="4" borderId="53" xfId="0" applyFont="1" applyFill="1" applyBorder="1" applyAlignment="1" applyProtection="1">
      <alignment vertical="center"/>
      <protection/>
    </xf>
    <xf numFmtId="3" fontId="12" fillId="4" borderId="54" xfId="0" applyNumberFormat="1" applyFont="1" applyFill="1" applyBorder="1" applyAlignment="1" applyProtection="1">
      <alignment horizontal="center" vertical="center" wrapText="1"/>
      <protection/>
    </xf>
    <xf numFmtId="0" fontId="56" fillId="4" borderId="34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2" fillId="84" borderId="31" xfId="0" applyFont="1" applyFill="1" applyBorder="1" applyAlignment="1" applyProtection="1">
      <alignment vertical="center"/>
      <protection/>
    </xf>
    <xf numFmtId="0" fontId="10" fillId="84" borderId="33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/>
      <protection/>
    </xf>
    <xf numFmtId="3" fontId="10" fillId="84" borderId="33" xfId="0" applyNumberFormat="1" applyFont="1" applyFill="1" applyBorder="1" applyAlignment="1" applyProtection="1">
      <alignment horizontal="center" vertical="center"/>
      <protection/>
    </xf>
    <xf numFmtId="0" fontId="10" fillId="84" borderId="33" xfId="0" applyFont="1" applyFill="1" applyBorder="1" applyAlignment="1" applyProtection="1">
      <alignment horizontal="center" vertical="center"/>
      <protection/>
    </xf>
    <xf numFmtId="0" fontId="2" fillId="0" borderId="0" xfId="1628" applyNumberFormat="1" quotePrefix="1">
      <alignment/>
      <protection/>
    </xf>
    <xf numFmtId="0" fontId="0" fillId="0" borderId="0" xfId="1706">
      <alignment/>
      <protection/>
    </xf>
    <xf numFmtId="0" fontId="8" fillId="4" borderId="54" xfId="0" applyFont="1" applyFill="1" applyBorder="1" applyAlignment="1" applyProtection="1">
      <alignment/>
      <protection/>
    </xf>
    <xf numFmtId="0" fontId="8" fillId="4" borderId="31" xfId="0" applyFont="1" applyFill="1" applyBorder="1" applyAlignment="1" applyProtection="1">
      <alignment/>
      <protection/>
    </xf>
    <xf numFmtId="3" fontId="6" fillId="4" borderId="31" xfId="333" applyNumberFormat="1" applyFont="1" applyFill="1" applyBorder="1" applyAlignment="1" applyProtection="1">
      <alignment horizontal="center" vertical="center" wrapText="1"/>
      <protection/>
    </xf>
    <xf numFmtId="0" fontId="44" fillId="0" borderId="31" xfId="0" applyFont="1" applyBorder="1" applyAlignment="1">
      <alignment horizontal="center" vertical="center"/>
    </xf>
    <xf numFmtId="0" fontId="44" fillId="0" borderId="55" xfId="0" applyFont="1" applyBorder="1" applyAlignment="1">
      <alignment horizontal="right" vertical="center" wrapText="1"/>
    </xf>
    <xf numFmtId="0" fontId="6" fillId="0" borderId="55" xfId="0" applyFont="1" applyBorder="1" applyAlignment="1">
      <alignment vertical="center"/>
    </xf>
    <xf numFmtId="0" fontId="58" fillId="32" borderId="56" xfId="0" applyFont="1" applyFill="1" applyBorder="1" applyAlignment="1">
      <alignment horizontal="center" vertical="center"/>
    </xf>
    <xf numFmtId="0" fontId="10" fillId="84" borderId="57" xfId="0" applyFont="1" applyFill="1" applyBorder="1" applyAlignment="1">
      <alignment vertical="center"/>
    </xf>
    <xf numFmtId="3" fontId="12" fillId="4" borderId="31" xfId="0" applyNumberFormat="1" applyFont="1" applyFill="1" applyBorder="1" applyAlignment="1" applyProtection="1">
      <alignment horizontal="center" vertical="center" wrapText="1"/>
      <protection/>
    </xf>
    <xf numFmtId="0" fontId="10" fillId="84" borderId="33" xfId="0" applyFont="1" applyFill="1" applyBorder="1" applyAlignment="1" applyProtection="1">
      <alignment vertical="center"/>
      <protection locked="0"/>
    </xf>
    <xf numFmtId="3" fontId="53" fillId="4" borderId="54" xfId="0" applyNumberFormat="1" applyFont="1" applyFill="1" applyBorder="1" applyAlignment="1" applyProtection="1">
      <alignment horizontal="center" vertical="center" wrapText="1"/>
      <protection/>
    </xf>
    <xf numFmtId="0" fontId="44" fillId="25" borderId="41" xfId="0" applyFont="1" applyFill="1" applyBorder="1" applyAlignment="1">
      <alignment vertical="center"/>
    </xf>
    <xf numFmtId="0" fontId="2" fillId="14" borderId="58" xfId="1611" applyFill="1" applyBorder="1" applyProtection="1">
      <alignment/>
      <protection hidden="1"/>
    </xf>
    <xf numFmtId="0" fontId="2" fillId="14" borderId="59" xfId="1611" applyFill="1" applyBorder="1" applyProtection="1">
      <alignment/>
      <protection hidden="1"/>
    </xf>
    <xf numFmtId="0" fontId="2" fillId="14" borderId="60" xfId="1611" applyFill="1" applyBorder="1" applyProtection="1">
      <alignment/>
      <protection hidden="1"/>
    </xf>
    <xf numFmtId="0" fontId="2" fillId="6" borderId="0" xfId="1611" applyFill="1" applyProtection="1">
      <alignment/>
      <protection/>
    </xf>
    <xf numFmtId="0" fontId="2" fillId="6" borderId="0" xfId="1611" applyNumberFormat="1" applyFill="1" applyAlignment="1" applyProtection="1">
      <alignment horizontal="left"/>
      <protection/>
    </xf>
    <xf numFmtId="0" fontId="2" fillId="14" borderId="61" xfId="1611" applyFill="1" applyBorder="1" applyProtection="1">
      <alignment/>
      <protection hidden="1"/>
    </xf>
    <xf numFmtId="0" fontId="3" fillId="5" borderId="31" xfId="1611" applyNumberFormat="1" applyFont="1" applyFill="1" applyBorder="1" applyAlignment="1" applyProtection="1">
      <alignment horizontal="left"/>
      <protection hidden="1"/>
    </xf>
    <xf numFmtId="0" fontId="3" fillId="5" borderId="57" xfId="1611" applyNumberFormat="1" applyFont="1" applyFill="1" applyBorder="1" applyAlignment="1" applyProtection="1">
      <alignment horizontal="left"/>
      <protection hidden="1"/>
    </xf>
    <xf numFmtId="0" fontId="3" fillId="5" borderId="32" xfId="1611" applyNumberFormat="1" applyFont="1" applyFill="1" applyBorder="1" applyAlignment="1" applyProtection="1">
      <alignment horizontal="left"/>
      <protection locked="0"/>
    </xf>
    <xf numFmtId="0" fontId="3" fillId="5" borderId="62" xfId="1611" applyNumberFormat="1" applyFont="1" applyFill="1" applyBorder="1" applyAlignment="1" applyProtection="1">
      <alignment horizontal="left"/>
      <protection locked="0"/>
    </xf>
    <xf numFmtId="0" fontId="2" fillId="85" borderId="0" xfId="1611" applyFill="1" applyProtection="1">
      <alignment/>
      <protection/>
    </xf>
    <xf numFmtId="0" fontId="2" fillId="85" borderId="0" xfId="1611" applyFill="1" applyProtection="1" quotePrefix="1">
      <alignment/>
      <protection/>
    </xf>
    <xf numFmtId="0" fontId="2" fillId="85" borderId="0" xfId="1611" applyNumberFormat="1" applyFill="1" applyAlignment="1" applyProtection="1">
      <alignment horizontal="left"/>
      <protection/>
    </xf>
    <xf numFmtId="0" fontId="3" fillId="5" borderId="31" xfId="1611" applyNumberFormat="1" applyFont="1" applyFill="1" applyBorder="1" applyProtection="1">
      <alignment/>
      <protection hidden="1"/>
    </xf>
    <xf numFmtId="0" fontId="2" fillId="14" borderId="0" xfId="1611" applyFill="1" applyBorder="1" applyProtection="1">
      <alignment/>
      <protection hidden="1"/>
    </xf>
    <xf numFmtId="0" fontId="2" fillId="14" borderId="63" xfId="1611" applyFill="1" applyBorder="1" applyProtection="1">
      <alignment/>
      <protection hidden="1"/>
    </xf>
    <xf numFmtId="0" fontId="2" fillId="6" borderId="0" xfId="1611" applyFill="1" applyProtection="1" quotePrefix="1">
      <alignment/>
      <protection/>
    </xf>
    <xf numFmtId="0" fontId="4" fillId="14" borderId="0" xfId="1611" applyFont="1" applyFill="1" applyBorder="1" applyProtection="1">
      <alignment/>
      <protection hidden="1"/>
    </xf>
    <xf numFmtId="0" fontId="3" fillId="14" borderId="0" xfId="1611" applyFont="1" applyFill="1" applyBorder="1" applyProtection="1">
      <alignment/>
      <protection hidden="1"/>
    </xf>
    <xf numFmtId="0" fontId="3" fillId="5" borderId="31" xfId="1611" applyNumberFormat="1" applyFont="1" applyFill="1" applyBorder="1" applyProtection="1">
      <alignment/>
      <protection hidden="1" locked="0"/>
    </xf>
    <xf numFmtId="0" fontId="2" fillId="14" borderId="64" xfId="1611" applyFill="1" applyBorder="1" applyProtection="1">
      <alignment/>
      <protection/>
    </xf>
    <xf numFmtId="0" fontId="2" fillId="14" borderId="65" xfId="1611" applyFill="1" applyBorder="1" applyProtection="1">
      <alignment/>
      <protection/>
    </xf>
    <xf numFmtId="0" fontId="5" fillId="14" borderId="66" xfId="1611" applyFont="1" applyFill="1" applyBorder="1" applyAlignment="1" applyProtection="1">
      <alignment horizontal="right"/>
      <protection/>
    </xf>
    <xf numFmtId="0" fontId="2" fillId="32" borderId="0" xfId="1611" applyFill="1" applyProtection="1">
      <alignment/>
      <protection/>
    </xf>
    <xf numFmtId="0" fontId="2" fillId="6" borderId="0" xfId="1611" applyNumberFormat="1" applyFill="1" applyAlignment="1" applyProtection="1" quotePrefix="1">
      <alignment horizontal="left"/>
      <protection/>
    </xf>
    <xf numFmtId="16" fontId="0" fillId="0" borderId="0" xfId="0" applyNumberFormat="1" applyAlignment="1">
      <alignment/>
    </xf>
    <xf numFmtId="0" fontId="47" fillId="32" borderId="56" xfId="1613" applyFont="1" applyFill="1" applyBorder="1" applyAlignment="1">
      <alignment vertical="center" wrapText="1"/>
      <protection/>
    </xf>
    <xf numFmtId="0" fontId="9" fillId="0" borderId="57" xfId="0" applyFont="1" applyBorder="1" applyAlignment="1">
      <alignment vertical="center"/>
    </xf>
    <xf numFmtId="3" fontId="7" fillId="25" borderId="35" xfId="0" applyNumberFormat="1" applyFont="1" applyFill="1" applyBorder="1" applyAlignment="1">
      <alignment horizontal="center" vertical="center" wrapText="1"/>
    </xf>
    <xf numFmtId="3" fontId="7" fillId="25" borderId="62" xfId="0" applyNumberFormat="1" applyFont="1" applyFill="1" applyBorder="1" applyAlignment="1">
      <alignment horizontal="center" vertical="center" wrapText="1"/>
    </xf>
    <xf numFmtId="3" fontId="7" fillId="15" borderId="62" xfId="674" applyNumberFormat="1" applyFont="1" applyFill="1" applyBorder="1" applyAlignment="1" applyProtection="1">
      <alignment horizontal="center" vertical="center" wrapText="1"/>
      <protection locked="0"/>
    </xf>
    <xf numFmtId="3" fontId="6" fillId="6" borderId="31" xfId="674" applyNumberFormat="1" applyFont="1" applyFill="1" applyBorder="1" applyAlignment="1" applyProtection="1">
      <alignment horizontal="center" vertical="center" wrapText="1"/>
      <protection/>
    </xf>
    <xf numFmtId="3" fontId="7" fillId="25" borderId="31" xfId="0" applyNumberFormat="1" applyFont="1" applyFill="1" applyBorder="1" applyAlignment="1" applyProtection="1">
      <alignment horizontal="center" vertical="center" wrapText="1"/>
      <protection/>
    </xf>
    <xf numFmtId="0" fontId="10" fillId="84" borderId="33" xfId="0" applyFont="1" applyFill="1" applyBorder="1" applyAlignment="1">
      <alignment vertical="center"/>
    </xf>
    <xf numFmtId="0" fontId="10" fillId="84" borderId="67" xfId="0" applyFont="1" applyFill="1" applyBorder="1" applyAlignment="1">
      <alignment vertical="center"/>
    </xf>
    <xf numFmtId="0" fontId="10" fillId="84" borderId="47" xfId="0" applyFont="1" applyFill="1" applyBorder="1" applyAlignment="1">
      <alignment vertical="center"/>
    </xf>
    <xf numFmtId="0" fontId="11" fillId="4" borderId="53" xfId="0" applyFont="1" applyFill="1" applyBorder="1" applyAlignment="1">
      <alignment vertical="center"/>
    </xf>
    <xf numFmtId="3" fontId="12" fillId="4" borderId="46" xfId="0" applyNumberFormat="1" applyFont="1" applyFill="1" applyBorder="1" applyAlignment="1">
      <alignment horizontal="center" vertical="center" wrapText="1"/>
    </xf>
    <xf numFmtId="3" fontId="12" fillId="4" borderId="68" xfId="0" applyNumberFormat="1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left" vertical="top"/>
    </xf>
    <xf numFmtId="0" fontId="43" fillId="0" borderId="31" xfId="0" applyFont="1" applyFill="1" applyBorder="1" applyAlignment="1">
      <alignment horizontal="left" vertical="top" wrapText="1"/>
    </xf>
    <xf numFmtId="0" fontId="50" fillId="0" borderId="31" xfId="0" applyFont="1" applyFill="1" applyBorder="1" applyAlignment="1">
      <alignment vertical="center"/>
    </xf>
    <xf numFmtId="0" fontId="8" fillId="0" borderId="50" xfId="0" applyFont="1" applyBorder="1" applyAlignment="1">
      <alignment vertical="center"/>
    </xf>
    <xf numFmtId="3" fontId="7" fillId="0" borderId="38" xfId="674" applyNumberFormat="1" applyFont="1" applyFill="1" applyBorder="1" applyAlignment="1">
      <alignment horizontal="center" vertical="center" wrapText="1"/>
    </xf>
    <xf numFmtId="3" fontId="6" fillId="0" borderId="69" xfId="674" applyNumberFormat="1" applyFont="1" applyFill="1" applyBorder="1" applyAlignment="1">
      <alignment horizontal="center" vertical="center" wrapText="1"/>
    </xf>
    <xf numFmtId="3" fontId="6" fillId="0" borderId="50" xfId="674" applyNumberFormat="1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3" fontId="6" fillId="0" borderId="71" xfId="333" applyNumberFormat="1" applyFont="1" applyBorder="1" applyAlignment="1">
      <alignment horizontal="center" vertical="center" wrapText="1"/>
    </xf>
    <xf numFmtId="3" fontId="7" fillId="15" borderId="51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51" xfId="333" applyNumberFormat="1" applyFont="1" applyBorder="1" applyAlignment="1">
      <alignment horizontal="center" vertical="center" wrapText="1"/>
    </xf>
    <xf numFmtId="3" fontId="7" fillId="15" borderId="70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70" xfId="333" applyNumberFormat="1" applyFont="1" applyBorder="1" applyAlignment="1">
      <alignment horizontal="center" vertical="center" wrapText="1"/>
    </xf>
    <xf numFmtId="0" fontId="11" fillId="4" borderId="72" xfId="0" applyFont="1" applyFill="1" applyBorder="1" applyAlignment="1">
      <alignment/>
    </xf>
    <xf numFmtId="3" fontId="7" fillId="4" borderId="73" xfId="0" applyNumberFormat="1" applyFont="1" applyFill="1" applyBorder="1" applyAlignment="1">
      <alignment horizontal="center" vertical="center" wrapText="1"/>
    </xf>
    <xf numFmtId="3" fontId="7" fillId="4" borderId="74" xfId="0" applyNumberFormat="1" applyFont="1" applyFill="1" applyBorder="1" applyAlignment="1">
      <alignment horizontal="center" vertical="center" wrapText="1"/>
    </xf>
    <xf numFmtId="0" fontId="8" fillId="25" borderId="75" xfId="0" applyFont="1" applyFill="1" applyBorder="1" applyAlignment="1" quotePrefix="1">
      <alignment vertical="center"/>
    </xf>
    <xf numFmtId="3" fontId="7" fillId="25" borderId="76" xfId="0" applyNumberFormat="1" applyFont="1" applyFill="1" applyBorder="1" applyAlignment="1">
      <alignment horizontal="center" vertical="center" wrapText="1"/>
    </xf>
    <xf numFmtId="3" fontId="7" fillId="25" borderId="77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vertical="center"/>
    </xf>
    <xf numFmtId="0" fontId="49" fillId="0" borderId="78" xfId="0" applyFont="1" applyFill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57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3" fontId="6" fillId="0" borderId="80" xfId="333" applyNumberFormat="1" applyFont="1" applyBorder="1" applyAlignment="1">
      <alignment horizontal="center" vertical="center" wrapText="1"/>
    </xf>
    <xf numFmtId="0" fontId="8" fillId="0" borderId="81" xfId="0" applyFont="1" applyBorder="1" applyAlignment="1" quotePrefix="1">
      <alignment vertical="center"/>
    </xf>
    <xf numFmtId="0" fontId="8" fillId="0" borderId="75" xfId="0" applyFont="1" applyBorder="1" applyAlignment="1" quotePrefix="1">
      <alignment vertical="center"/>
    </xf>
    <xf numFmtId="0" fontId="8" fillId="0" borderId="75" xfId="0" applyFont="1" applyBorder="1" applyAlignment="1" quotePrefix="1">
      <alignment vertical="top"/>
    </xf>
    <xf numFmtId="0" fontId="8" fillId="0" borderId="79" xfId="0" applyFont="1" applyBorder="1" applyAlignment="1" quotePrefix="1">
      <alignment horizontal="left" vertical="center"/>
    </xf>
    <xf numFmtId="3" fontId="7" fillId="15" borderId="80" xfId="333" applyNumberFormat="1" applyFont="1" applyFill="1" applyBorder="1" applyAlignment="1" applyProtection="1">
      <alignment horizontal="center" vertical="center" wrapText="1"/>
      <protection locked="0"/>
    </xf>
    <xf numFmtId="0" fontId="8" fillId="0" borderId="81" xfId="0" applyFont="1" applyBorder="1" applyAlignment="1">
      <alignment vertical="center"/>
    </xf>
    <xf numFmtId="3" fontId="7" fillId="15" borderId="50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50" xfId="333" applyNumberFormat="1" applyFont="1" applyBorder="1" applyAlignment="1">
      <alignment horizontal="center" vertical="center" wrapText="1"/>
    </xf>
    <xf numFmtId="0" fontId="57" fillId="0" borderId="75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10" fillId="84" borderId="57" xfId="0" applyFont="1" applyFill="1" applyBorder="1" applyAlignment="1">
      <alignment vertical="center"/>
    </xf>
    <xf numFmtId="0" fontId="10" fillId="84" borderId="32" xfId="0" applyFont="1" applyFill="1" applyBorder="1" applyAlignment="1">
      <alignment vertical="center"/>
    </xf>
    <xf numFmtId="0" fontId="10" fillId="84" borderId="62" xfId="0" applyFont="1" applyFill="1" applyBorder="1" applyAlignment="1">
      <alignment vertical="center"/>
    </xf>
    <xf numFmtId="0" fontId="9" fillId="86" borderId="53" xfId="0" applyFont="1" applyFill="1" applyBorder="1" applyAlignment="1">
      <alignment vertical="center"/>
    </xf>
    <xf numFmtId="3" fontId="6" fillId="86" borderId="82" xfId="0" applyNumberFormat="1" applyFont="1" applyFill="1" applyBorder="1" applyAlignment="1">
      <alignment horizontal="center" vertical="center" wrapText="1"/>
    </xf>
    <xf numFmtId="3" fontId="6" fillId="86" borderId="83" xfId="0" applyNumberFormat="1" applyFont="1" applyFill="1" applyBorder="1" applyAlignment="1">
      <alignment horizontal="center" vertical="center" wrapText="1"/>
    </xf>
    <xf numFmtId="3" fontId="6" fillId="86" borderId="84" xfId="0" applyNumberFormat="1" applyFont="1" applyFill="1" applyBorder="1" applyAlignment="1">
      <alignment horizontal="center" vertical="center" wrapText="1"/>
    </xf>
    <xf numFmtId="3" fontId="6" fillId="86" borderId="5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6" fillId="25" borderId="35" xfId="0" applyNumberFormat="1" applyFont="1" applyFill="1" applyBorder="1" applyAlignment="1">
      <alignment horizontal="center" vertical="center" wrapText="1"/>
    </xf>
    <xf numFmtId="3" fontId="6" fillId="25" borderId="37" xfId="0" applyNumberFormat="1" applyFont="1" applyFill="1" applyBorder="1" applyAlignment="1">
      <alignment horizontal="center" vertical="center" wrapText="1"/>
    </xf>
    <xf numFmtId="3" fontId="6" fillId="25" borderId="31" xfId="0" applyNumberFormat="1" applyFont="1" applyFill="1" applyBorder="1" applyAlignment="1">
      <alignment horizontal="center" vertical="center" wrapText="1"/>
    </xf>
    <xf numFmtId="3" fontId="6" fillId="6" borderId="31" xfId="674" applyNumberFormat="1" applyFont="1" applyFill="1" applyBorder="1" applyAlignment="1">
      <alignment horizontal="center" vertical="center" wrapText="1"/>
    </xf>
    <xf numFmtId="3" fontId="6" fillId="0" borderId="31" xfId="674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39" xfId="674" applyNumberFormat="1" applyFont="1" applyFill="1" applyBorder="1" applyAlignment="1">
      <alignment horizontal="center" vertical="center" wrapText="1"/>
    </xf>
    <xf numFmtId="3" fontId="7" fillId="15" borderId="85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6" xfId="333" applyNumberFormat="1" applyFont="1" applyBorder="1" applyAlignment="1">
      <alignment horizontal="center" vertical="center" wrapText="1"/>
    </xf>
    <xf numFmtId="3" fontId="7" fillId="15" borderId="40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41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7" xfId="333" applyNumberFormat="1" applyFont="1" applyBorder="1" applyAlignment="1">
      <alignment horizontal="center" vertical="center" wrapText="1"/>
    </xf>
    <xf numFmtId="3" fontId="7" fillId="15" borderId="44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45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8" xfId="333" applyNumberFormat="1" applyFont="1" applyBorder="1" applyAlignment="1">
      <alignment horizontal="center" vertical="center" wrapText="1"/>
    </xf>
    <xf numFmtId="3" fontId="7" fillId="15" borderId="82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83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84" xfId="333" applyNumberFormat="1" applyFont="1" applyBorder="1" applyAlignment="1">
      <alignment horizontal="center" vertical="center" wrapText="1"/>
    </xf>
    <xf numFmtId="3" fontId="7" fillId="15" borderId="38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39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69" xfId="333" applyNumberFormat="1" applyFont="1" applyBorder="1" applyAlignment="1">
      <alignment horizontal="center" vertical="center" wrapText="1"/>
    </xf>
    <xf numFmtId="3" fontId="7" fillId="15" borderId="89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90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91" xfId="333" applyNumberFormat="1" applyFont="1" applyBorder="1" applyAlignment="1">
      <alignment horizontal="center" vertical="center" wrapText="1"/>
    </xf>
    <xf numFmtId="3" fontId="7" fillId="15" borderId="35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36" xfId="333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333" applyNumberFormat="1" applyFont="1" applyBorder="1" applyAlignment="1">
      <alignment horizontal="center" vertical="center" wrapText="1"/>
    </xf>
    <xf numFmtId="3" fontId="6" fillId="25" borderId="50" xfId="674" applyNumberFormat="1" applyFont="1" applyFill="1" applyBorder="1" applyAlignment="1">
      <alignment horizontal="center" vertical="center" wrapText="1"/>
    </xf>
    <xf numFmtId="3" fontId="6" fillId="25" borderId="34" xfId="333" applyNumberFormat="1" applyFont="1" applyFill="1" applyBorder="1" applyAlignment="1">
      <alignment horizontal="center" vertical="center" wrapText="1"/>
    </xf>
    <xf numFmtId="3" fontId="6" fillId="25" borderId="70" xfId="333" applyNumberFormat="1" applyFont="1" applyFill="1" applyBorder="1" applyAlignment="1">
      <alignment horizontal="center" vertical="center" wrapText="1"/>
    </xf>
    <xf numFmtId="3" fontId="6" fillId="25" borderId="51" xfId="333" applyNumberFormat="1" applyFont="1" applyFill="1" applyBorder="1" applyAlignment="1">
      <alignment horizontal="center" vertical="center" wrapText="1"/>
    </xf>
    <xf numFmtId="3" fontId="6" fillId="25" borderId="80" xfId="333" applyNumberFormat="1" applyFont="1" applyFill="1" applyBorder="1" applyAlignment="1">
      <alignment horizontal="center" vertical="center" wrapText="1"/>
    </xf>
    <xf numFmtId="3" fontId="6" fillId="25" borderId="71" xfId="333" applyNumberFormat="1" applyFont="1" applyFill="1" applyBorder="1" applyAlignment="1">
      <alignment horizontal="center" vertical="center" wrapText="1"/>
    </xf>
    <xf numFmtId="3" fontId="6" fillId="25" borderId="31" xfId="333" applyNumberFormat="1" applyFont="1" applyFill="1" applyBorder="1" applyAlignment="1">
      <alignment horizontal="center" vertical="center" wrapText="1"/>
    </xf>
    <xf numFmtId="3" fontId="6" fillId="25" borderId="50" xfId="333" applyNumberFormat="1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vertical="center" wrapText="1"/>
    </xf>
    <xf numFmtId="3" fontId="6" fillId="4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/>
      <protection/>
    </xf>
    <xf numFmtId="3" fontId="12" fillId="15" borderId="50" xfId="333" applyNumberFormat="1" applyFont="1" applyFill="1" applyBorder="1" applyAlignment="1" applyProtection="1">
      <alignment horizontal="center" vertical="center" wrapText="1"/>
      <protection locked="0"/>
    </xf>
    <xf numFmtId="3" fontId="7" fillId="0" borderId="50" xfId="333" applyNumberFormat="1" applyFont="1" applyFill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/>
      <protection/>
    </xf>
    <xf numFmtId="3" fontId="12" fillId="15" borderId="70" xfId="333" applyNumberFormat="1" applyFont="1" applyFill="1" applyBorder="1" applyAlignment="1" applyProtection="1">
      <alignment horizontal="center" vertical="center" wrapText="1"/>
      <protection locked="0"/>
    </xf>
    <xf numFmtId="3" fontId="7" fillId="0" borderId="70" xfId="333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Font="1" applyBorder="1" applyAlignment="1" applyProtection="1">
      <alignment/>
      <protection/>
    </xf>
    <xf numFmtId="0" fontId="56" fillId="15" borderId="70" xfId="0" applyFont="1" applyFill="1" applyBorder="1" applyAlignment="1" applyProtection="1">
      <alignment/>
      <protection locked="0"/>
    </xf>
    <xf numFmtId="0" fontId="12" fillId="0" borderId="51" xfId="0" applyFont="1" applyBorder="1" applyAlignment="1" applyProtection="1">
      <alignment/>
      <protection/>
    </xf>
    <xf numFmtId="3" fontId="12" fillId="15" borderId="51" xfId="333" applyNumberFormat="1" applyFont="1" applyFill="1" applyBorder="1" applyAlignment="1" applyProtection="1">
      <alignment horizontal="center" vertical="center" wrapText="1"/>
      <protection locked="0"/>
    </xf>
    <xf numFmtId="0" fontId="56" fillId="15" borderId="51" xfId="0" applyFont="1" applyFill="1" applyBorder="1" applyAlignment="1" applyProtection="1">
      <alignment/>
      <protection locked="0"/>
    </xf>
    <xf numFmtId="3" fontId="12" fillId="0" borderId="50" xfId="333" applyNumberFormat="1" applyFont="1" applyFill="1" applyBorder="1" applyAlignment="1" applyProtection="1">
      <alignment horizontal="center" vertical="center" wrapText="1"/>
      <protection/>
    </xf>
    <xf numFmtId="3" fontId="12" fillId="0" borderId="70" xfId="333" applyNumberFormat="1" applyFont="1" applyFill="1" applyBorder="1" applyAlignment="1" applyProtection="1">
      <alignment horizontal="center" vertical="center" wrapText="1"/>
      <protection/>
    </xf>
    <xf numFmtId="0" fontId="60" fillId="51" borderId="50" xfId="0" applyFont="1" applyFill="1" applyBorder="1" applyAlignment="1" applyProtection="1">
      <alignment/>
      <protection hidden="1"/>
    </xf>
    <xf numFmtId="0" fontId="60" fillId="51" borderId="70" xfId="0" applyFont="1" applyFill="1" applyBorder="1" applyAlignment="1" applyProtection="1">
      <alignment/>
      <protection hidden="1"/>
    </xf>
    <xf numFmtId="0" fontId="60" fillId="51" borderId="51" xfId="0" applyFont="1" applyFill="1" applyBorder="1" applyAlignment="1" applyProtection="1">
      <alignment/>
      <protection hidden="1"/>
    </xf>
    <xf numFmtId="0" fontId="6" fillId="4" borderId="31" xfId="0" applyFont="1" applyFill="1" applyBorder="1" applyAlignment="1">
      <alignment horizontal="center" vertical="center" wrapText="1"/>
    </xf>
    <xf numFmtId="0" fontId="54" fillId="4" borderId="52" xfId="0" applyFont="1" applyFill="1" applyBorder="1" applyAlignment="1">
      <alignment horizontal="center" vertical="center" wrapText="1"/>
    </xf>
    <xf numFmtId="0" fontId="52" fillId="84" borderId="67" xfId="0" applyFont="1" applyFill="1" applyBorder="1" applyAlignment="1">
      <alignment vertical="center"/>
    </xf>
    <xf numFmtId="3" fontId="53" fillId="4" borderId="31" xfId="0" applyNumberFormat="1" applyFont="1" applyFill="1" applyBorder="1" applyAlignment="1">
      <alignment horizontal="center" vertical="center" wrapText="1"/>
    </xf>
    <xf numFmtId="0" fontId="56" fillId="15" borderId="80" xfId="0" applyFont="1" applyFill="1" applyBorder="1" applyAlignment="1" applyProtection="1">
      <alignment/>
      <protection locked="0"/>
    </xf>
    <xf numFmtId="0" fontId="55" fillId="4" borderId="31" xfId="0" applyFont="1" applyFill="1" applyBorder="1" applyAlignment="1" applyProtection="1">
      <alignment vertical="center"/>
      <protection/>
    </xf>
    <xf numFmtId="0" fontId="56" fillId="4" borderId="31" xfId="0" applyFont="1" applyFill="1" applyBorder="1" applyAlignment="1" applyProtection="1">
      <alignment/>
      <protection/>
    </xf>
    <xf numFmtId="3" fontId="7" fillId="25" borderId="31" xfId="333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/>
      <protection/>
    </xf>
    <xf numFmtId="3" fontId="7" fillId="0" borderId="51" xfId="333" applyNumberFormat="1" applyFont="1" applyFill="1" applyBorder="1" applyAlignment="1" applyProtection="1">
      <alignment horizontal="center" vertical="center" wrapText="1"/>
      <protection/>
    </xf>
    <xf numFmtId="3" fontId="7" fillId="15" borderId="50" xfId="333" applyNumberFormat="1" applyFont="1" applyFill="1" applyBorder="1" applyAlignment="1" applyProtection="1">
      <alignment horizontal="center" vertical="center" wrapText="1"/>
      <protection/>
    </xf>
    <xf numFmtId="3" fontId="7" fillId="15" borderId="51" xfId="333" applyNumberFormat="1" applyFont="1" applyFill="1" applyBorder="1" applyAlignment="1" applyProtection="1">
      <alignment horizontal="center" vertical="center" wrapText="1"/>
      <protection/>
    </xf>
    <xf numFmtId="0" fontId="12" fillId="15" borderId="50" xfId="0" applyFont="1" applyFill="1" applyBorder="1" applyAlignment="1" applyProtection="1">
      <alignment/>
      <protection locked="0"/>
    </xf>
    <xf numFmtId="0" fontId="56" fillId="4" borderId="51" xfId="0" applyFont="1" applyFill="1" applyBorder="1" applyAlignment="1" applyProtection="1">
      <alignment/>
      <protection/>
    </xf>
    <xf numFmtId="3" fontId="7" fillId="15" borderId="31" xfId="333" applyNumberFormat="1" applyFont="1" applyFill="1" applyBorder="1" applyAlignment="1" applyProtection="1">
      <alignment horizontal="center" vertical="center" wrapText="1"/>
      <protection/>
    </xf>
    <xf numFmtId="3" fontId="7" fillId="15" borderId="31" xfId="333" applyNumberFormat="1" applyFont="1" applyFill="1" applyBorder="1" applyAlignment="1" applyProtection="1">
      <alignment horizontal="center" vertical="center" wrapText="1"/>
      <protection locked="0"/>
    </xf>
    <xf numFmtId="3" fontId="7" fillId="25" borderId="50" xfId="333" applyNumberFormat="1" applyFont="1" applyFill="1" applyBorder="1" applyAlignment="1" applyProtection="1">
      <alignment horizontal="center" vertical="center" wrapText="1"/>
      <protection/>
    </xf>
    <xf numFmtId="0" fontId="52" fillId="84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55" fillId="4" borderId="78" xfId="0" applyFont="1" applyFill="1" applyBorder="1" applyAlignment="1" applyProtection="1">
      <alignment vertical="center"/>
      <protection/>
    </xf>
    <xf numFmtId="3" fontId="12" fillId="4" borderId="51" xfId="0" applyNumberFormat="1" applyFont="1" applyFill="1" applyBorder="1" applyAlignment="1" applyProtection="1">
      <alignment horizontal="center" vertical="center" wrapText="1"/>
      <protection/>
    </xf>
    <xf numFmtId="3" fontId="6" fillId="0" borderId="50" xfId="333" applyNumberFormat="1" applyFont="1" applyBorder="1" applyAlignment="1" applyProtection="1">
      <alignment horizontal="center" vertical="center" wrapText="1"/>
      <protection/>
    </xf>
    <xf numFmtId="3" fontId="6" fillId="0" borderId="70" xfId="333" applyNumberFormat="1" applyFont="1" applyBorder="1" applyAlignment="1" applyProtection="1">
      <alignment horizontal="center" vertical="center" wrapText="1"/>
      <protection/>
    </xf>
    <xf numFmtId="3" fontId="6" fillId="0" borderId="51" xfId="333" applyNumberFormat="1" applyFont="1" applyBorder="1" applyAlignment="1" applyProtection="1">
      <alignment horizontal="center" vertical="center" wrapText="1"/>
      <protection/>
    </xf>
    <xf numFmtId="3" fontId="6" fillId="0" borderId="80" xfId="333" applyNumberFormat="1" applyFont="1" applyBorder="1" applyAlignment="1" applyProtection="1">
      <alignment horizontal="center" vertical="center" wrapText="1"/>
      <protection/>
    </xf>
    <xf numFmtId="3" fontId="61" fillId="0" borderId="69" xfId="2056" applyNumberFormat="1" applyFont="1" applyFill="1" applyBorder="1" applyAlignment="1" applyProtection="1">
      <alignment horizontal="center" vertical="center"/>
      <protection hidden="1"/>
    </xf>
    <xf numFmtId="3" fontId="61" fillId="0" borderId="87" xfId="2056" applyNumberFormat="1" applyFont="1" applyFill="1" applyBorder="1" applyAlignment="1" applyProtection="1">
      <alignment horizontal="center" vertical="center"/>
      <protection hidden="1"/>
    </xf>
    <xf numFmtId="3" fontId="61" fillId="0" borderId="70" xfId="2056" applyNumberFormat="1" applyFont="1" applyFill="1" applyBorder="1" applyAlignment="1" applyProtection="1">
      <alignment horizontal="center" vertical="center"/>
      <protection hidden="1"/>
    </xf>
    <xf numFmtId="3" fontId="62" fillId="0" borderId="87" xfId="2056" applyNumberFormat="1" applyFont="1" applyFill="1" applyBorder="1" applyAlignment="1" applyProtection="1">
      <alignment horizontal="center" vertical="center"/>
      <protection hidden="1"/>
    </xf>
    <xf numFmtId="3" fontId="62" fillId="0" borderId="70" xfId="2056" applyNumberFormat="1" applyFont="1" applyFill="1" applyBorder="1" applyAlignment="1" applyProtection="1">
      <alignment horizontal="center" vertical="center"/>
      <protection hidden="1"/>
    </xf>
    <xf numFmtId="3" fontId="61" fillId="0" borderId="50" xfId="2056" applyNumberFormat="1" applyFont="1" applyFill="1" applyBorder="1" applyAlignment="1" applyProtection="1">
      <alignment horizontal="center" vertical="center"/>
      <protection hidden="1"/>
    </xf>
    <xf numFmtId="3" fontId="61" fillId="25" borderId="87" xfId="2056" applyNumberFormat="1" applyFont="1" applyFill="1" applyBorder="1" applyAlignment="1" applyProtection="1">
      <alignment horizontal="center" vertical="center"/>
      <protection hidden="1"/>
    </xf>
    <xf numFmtId="3" fontId="61" fillId="25" borderId="70" xfId="2056" applyNumberFormat="1" applyFont="1" applyFill="1" applyBorder="1" applyAlignment="1" applyProtection="1">
      <alignment horizontal="center" vertical="center"/>
      <protection hidden="1"/>
    </xf>
    <xf numFmtId="3" fontId="63" fillId="25" borderId="87" xfId="2056" applyNumberFormat="1" applyFont="1" applyFill="1" applyBorder="1" applyAlignment="1" applyProtection="1">
      <alignment horizontal="center" vertical="center"/>
      <protection hidden="1"/>
    </xf>
    <xf numFmtId="3" fontId="63" fillId="25" borderId="70" xfId="2056" applyNumberFormat="1" applyFont="1" applyFill="1" applyBorder="1" applyAlignment="1" applyProtection="1">
      <alignment horizontal="center" vertical="center"/>
      <protection hidden="1"/>
    </xf>
    <xf numFmtId="3" fontId="63" fillId="25" borderId="92" xfId="2056" applyNumberFormat="1" applyFont="1" applyFill="1" applyBorder="1" applyAlignment="1" applyProtection="1">
      <alignment horizontal="center" vertical="center"/>
      <protection hidden="1"/>
    </xf>
    <xf numFmtId="3" fontId="63" fillId="25" borderId="80" xfId="2056" applyNumberFormat="1" applyFont="1" applyFill="1" applyBorder="1" applyAlignment="1" applyProtection="1">
      <alignment horizontal="center" vertical="center"/>
      <protection hidden="1"/>
    </xf>
    <xf numFmtId="3" fontId="63" fillId="25" borderId="88" xfId="2056" applyNumberFormat="1" applyFont="1" applyFill="1" applyBorder="1" applyAlignment="1" applyProtection="1">
      <alignment horizontal="center" vertical="center"/>
      <protection hidden="1"/>
    </xf>
    <xf numFmtId="3" fontId="63" fillId="25" borderId="51" xfId="2056" applyNumberFormat="1" applyFont="1" applyFill="1" applyBorder="1" applyAlignment="1" applyProtection="1">
      <alignment horizontal="center" vertical="center"/>
      <protection hidden="1"/>
    </xf>
    <xf numFmtId="0" fontId="1" fillId="0" borderId="0" xfId="1706" applyNumberFormat="1" applyFont="1">
      <alignment/>
      <protection/>
    </xf>
    <xf numFmtId="0" fontId="1" fillId="0" borderId="0" xfId="1706" applyNumberFormat="1" applyFont="1" quotePrefix="1">
      <alignment/>
      <protection/>
    </xf>
    <xf numFmtId="0" fontId="0" fillId="0" borderId="0" xfId="1706" applyNumberFormat="1" quotePrefix="1">
      <alignment/>
      <protection/>
    </xf>
    <xf numFmtId="0" fontId="64" fillId="0" borderId="93" xfId="1659" applyFont="1" applyFill="1" applyBorder="1" applyAlignment="1">
      <alignment vertical="center"/>
      <protection/>
    </xf>
    <xf numFmtId="184" fontId="44" fillId="0" borderId="0" xfId="0" applyNumberFormat="1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58" fillId="32" borderId="93" xfId="0" applyFont="1" applyFill="1" applyBorder="1" applyAlignment="1">
      <alignment horizontal="center" vertical="center"/>
    </xf>
    <xf numFmtId="0" fontId="48" fillId="0" borderId="93" xfId="0" applyFont="1" applyBorder="1" applyAlignment="1">
      <alignment vertical="center"/>
    </xf>
    <xf numFmtId="0" fontId="48" fillId="0" borderId="93" xfId="0" applyFont="1" applyBorder="1" applyAlignment="1">
      <alignment horizontal="center" vertical="center"/>
    </xf>
    <xf numFmtId="0" fontId="48" fillId="0" borderId="93" xfId="0" applyFont="1" applyBorder="1" applyAlignment="1">
      <alignment horizontal="left" vertical="center"/>
    </xf>
    <xf numFmtId="0" fontId="61" fillId="0" borderId="94" xfId="0" applyFont="1" applyFill="1" applyBorder="1" applyAlignment="1">
      <alignment horizontal="center" vertical="center"/>
    </xf>
    <xf numFmtId="0" fontId="45" fillId="0" borderId="95" xfId="0" applyFont="1" applyBorder="1" applyAlignment="1">
      <alignment horizontal="right" vertical="center"/>
    </xf>
    <xf numFmtId="0" fontId="65" fillId="0" borderId="0" xfId="1676" applyFont="1" applyFill="1" applyBorder="1" applyAlignment="1">
      <alignment horizontal="center" vertical="center" wrapText="1"/>
      <protection/>
    </xf>
    <xf numFmtId="0" fontId="62" fillId="0" borderId="0" xfId="1676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/>
    </xf>
    <xf numFmtId="0" fontId="66" fillId="0" borderId="0" xfId="1676" applyFont="1" applyFill="1" applyBorder="1" applyAlignment="1">
      <alignment horizontal="center" vertical="center" wrapText="1"/>
      <protection/>
    </xf>
    <xf numFmtId="0" fontId="14" fillId="0" borderId="0" xfId="167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6" fillId="0" borderId="94" xfId="0" applyFont="1" applyBorder="1" applyAlignment="1">
      <alignment horizontal="center" vertical="center" wrapText="1"/>
    </xf>
    <xf numFmtId="0" fontId="46" fillId="32" borderId="93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wrapText="1"/>
    </xf>
    <xf numFmtId="3" fontId="62" fillId="0" borderId="70" xfId="2056" applyNumberFormat="1" applyFont="1" applyFill="1" applyBorder="1" applyAlignment="1">
      <alignment horizontal="center" vertical="center"/>
    </xf>
    <xf numFmtId="0" fontId="67" fillId="6" borderId="0" xfId="0" applyFont="1" applyFill="1" applyAlignment="1">
      <alignment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vertical="center"/>
    </xf>
    <xf numFmtId="0" fontId="61" fillId="25" borderId="31" xfId="0" applyFont="1" applyFill="1" applyBorder="1" applyAlignment="1">
      <alignment horizontal="center" vertical="center"/>
    </xf>
    <xf numFmtId="0" fontId="48" fillId="25" borderId="31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3" fontId="61" fillId="0" borderId="31" xfId="2056" applyNumberFormat="1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184" fontId="63" fillId="0" borderId="31" xfId="2056" applyNumberFormat="1" applyFont="1" applyFill="1" applyBorder="1" applyAlignment="1">
      <alignment horizontal="left" vertical="center"/>
    </xf>
    <xf numFmtId="184" fontId="63" fillId="0" borderId="31" xfId="2056" applyNumberFormat="1" applyFont="1" applyFill="1" applyBorder="1" applyAlignment="1">
      <alignment horizontal="center" vertical="center"/>
    </xf>
    <xf numFmtId="184" fontId="61" fillId="0" borderId="31" xfId="2056" applyNumberFormat="1" applyFont="1" applyFill="1" applyBorder="1" applyAlignment="1">
      <alignment horizontal="left" vertical="center"/>
    </xf>
    <xf numFmtId="184" fontId="61" fillId="0" borderId="31" xfId="2056" applyNumberFormat="1" applyFont="1" applyFill="1" applyBorder="1" applyAlignment="1">
      <alignment horizontal="center" vertical="center"/>
    </xf>
    <xf numFmtId="0" fontId="61" fillId="25" borderId="57" xfId="0" applyFont="1" applyFill="1" applyBorder="1" applyAlignment="1">
      <alignment vertical="center" wrapText="1"/>
    </xf>
    <xf numFmtId="0" fontId="48" fillId="25" borderId="32" xfId="0" applyFont="1" applyFill="1" applyBorder="1" applyAlignment="1">
      <alignment horizontal="center" vertical="center"/>
    </xf>
    <xf numFmtId="0" fontId="48" fillId="25" borderId="62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left" vertical="center" indent="2"/>
    </xf>
    <xf numFmtId="0" fontId="61" fillId="0" borderId="70" xfId="0" applyFont="1" applyFill="1" applyBorder="1" applyAlignment="1">
      <alignment horizontal="center" vertical="center" wrapText="1"/>
    </xf>
    <xf numFmtId="3" fontId="63" fillId="0" borderId="70" xfId="2056" applyNumberFormat="1" applyFont="1" applyFill="1" applyBorder="1" applyAlignment="1">
      <alignment horizontal="center" vertical="center"/>
    </xf>
    <xf numFmtId="0" fontId="42" fillId="0" borderId="70" xfId="0" applyFont="1" applyBorder="1" applyAlignment="1">
      <alignment horizontal="left" vertical="center" indent="2"/>
    </xf>
    <xf numFmtId="0" fontId="44" fillId="0" borderId="7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3" fontId="62" fillId="0" borderId="51" xfId="2056" applyNumberFormat="1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left" vertical="center" indent="4"/>
    </xf>
    <xf numFmtId="0" fontId="42" fillId="0" borderId="51" xfId="0" applyFont="1" applyBorder="1" applyAlignment="1">
      <alignment horizontal="left" vertical="center" indent="2"/>
    </xf>
    <xf numFmtId="0" fontId="0" fillId="0" borderId="0" xfId="0" applyAlignment="1" quotePrefix="1">
      <alignment/>
    </xf>
    <xf numFmtId="0" fontId="1" fillId="0" borderId="0" xfId="1706" applyFont="1">
      <alignment/>
      <protection/>
    </xf>
    <xf numFmtId="0" fontId="6" fillId="4" borderId="57" xfId="0" applyFont="1" applyFill="1" applyBorder="1" applyAlignment="1" applyProtection="1">
      <alignment horizontal="center" vertical="center" wrapText="1"/>
      <protection/>
    </xf>
    <xf numFmtId="0" fontId="6" fillId="4" borderId="96" xfId="0" applyFont="1" applyFill="1" applyBorder="1" applyAlignment="1" applyProtection="1">
      <alignment horizontal="center" vertical="center" wrapText="1"/>
      <protection/>
    </xf>
    <xf numFmtId="0" fontId="6" fillId="4" borderId="97" xfId="0" applyFont="1" applyFill="1" applyBorder="1" applyAlignment="1" applyProtection="1">
      <alignment horizontal="center" vertical="center" wrapText="1"/>
      <protection/>
    </xf>
    <xf numFmtId="0" fontId="6" fillId="4" borderId="98" xfId="0" applyFont="1" applyFill="1" applyBorder="1" applyAlignment="1" applyProtection="1">
      <alignment horizontal="center" vertical="center" wrapText="1"/>
      <protection/>
    </xf>
    <xf numFmtId="3" fontId="53" fillId="4" borderId="62" xfId="0" applyNumberFormat="1" applyFont="1" applyFill="1" applyBorder="1" applyAlignment="1" applyProtection="1">
      <alignment horizontal="center" vertical="center" wrapText="1"/>
      <protection/>
    </xf>
    <xf numFmtId="3" fontId="12" fillId="15" borderId="72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99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100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75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101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102" xfId="333" applyNumberFormat="1" applyFont="1" applyFill="1" applyBorder="1" applyAlignment="1" applyProtection="1">
      <alignment horizontal="center" vertical="center" wrapText="1"/>
      <protection locked="0"/>
    </xf>
    <xf numFmtId="3" fontId="12" fillId="4" borderId="53" xfId="0" applyNumberFormat="1" applyFont="1" applyFill="1" applyBorder="1" applyAlignment="1" applyProtection="1">
      <alignment horizontal="center" vertical="center" wrapText="1"/>
      <protection/>
    </xf>
    <xf numFmtId="3" fontId="12" fillId="4" borderId="103" xfId="0" applyNumberFormat="1" applyFont="1" applyFill="1" applyBorder="1" applyAlignment="1" applyProtection="1">
      <alignment horizontal="center" vertical="center" wrapText="1"/>
      <protection/>
    </xf>
    <xf numFmtId="3" fontId="12" fillId="4" borderId="104" xfId="0" applyNumberFormat="1" applyFont="1" applyFill="1" applyBorder="1" applyAlignment="1" applyProtection="1">
      <alignment horizontal="center" vertical="center" wrapText="1"/>
      <protection/>
    </xf>
    <xf numFmtId="3" fontId="12" fillId="4" borderId="68" xfId="0" applyNumberFormat="1" applyFont="1" applyFill="1" applyBorder="1" applyAlignment="1" applyProtection="1">
      <alignment horizontal="center" vertical="center" wrapText="1"/>
      <protection/>
    </xf>
    <xf numFmtId="3" fontId="7" fillId="15" borderId="72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78" xfId="333" applyNumberFormat="1" applyFont="1" applyFill="1" applyBorder="1" applyAlignment="1" applyProtection="1">
      <alignment horizontal="center" vertical="center" wrapText="1"/>
      <protection locked="0"/>
    </xf>
    <xf numFmtId="3" fontId="7" fillId="25" borderId="51" xfId="333" applyNumberFormat="1" applyFont="1" applyFill="1" applyBorder="1" applyAlignment="1" applyProtection="1">
      <alignment horizontal="center" vertical="center" wrapText="1"/>
      <protection/>
    </xf>
    <xf numFmtId="3" fontId="7" fillId="0" borderId="31" xfId="333" applyNumberFormat="1" applyFont="1" applyFill="1" applyBorder="1" applyAlignment="1" applyProtection="1">
      <alignment horizontal="center" vertical="center" wrapText="1"/>
      <protection/>
    </xf>
    <xf numFmtId="3" fontId="12" fillId="25" borderId="31" xfId="0" applyNumberFormat="1" applyFont="1" applyFill="1" applyBorder="1" applyAlignment="1" applyProtection="1">
      <alignment horizontal="center" vertical="center" wrapText="1"/>
      <protection/>
    </xf>
    <xf numFmtId="3" fontId="56" fillId="0" borderId="0" xfId="0" applyNumberFormat="1" applyFont="1" applyBorder="1" applyAlignment="1" applyProtection="1">
      <alignment/>
      <protection/>
    </xf>
    <xf numFmtId="3" fontId="12" fillId="15" borderId="71" xfId="333" applyNumberFormat="1" applyFont="1" applyFill="1" applyBorder="1" applyAlignment="1" applyProtection="1">
      <alignment horizontal="center" vertical="center" wrapText="1"/>
      <protection locked="0"/>
    </xf>
    <xf numFmtId="3" fontId="7" fillId="25" borderId="99" xfId="333" applyNumberFormat="1" applyFont="1" applyFill="1" applyBorder="1" applyAlignment="1" applyProtection="1">
      <alignment horizontal="center" vertical="center" wrapText="1"/>
      <protection/>
    </xf>
    <xf numFmtId="3" fontId="7" fillId="0" borderId="105" xfId="333" applyNumberFormat="1" applyFont="1" applyFill="1" applyBorder="1" applyAlignment="1" applyProtection="1">
      <alignment horizontal="center" vertical="center" wrapText="1"/>
      <protection/>
    </xf>
    <xf numFmtId="3" fontId="7" fillId="0" borderId="99" xfId="333" applyNumberFormat="1" applyFont="1" applyFill="1" applyBorder="1" applyAlignment="1" applyProtection="1">
      <alignment horizontal="center" vertical="center" wrapText="1"/>
      <protection/>
    </xf>
    <xf numFmtId="3" fontId="7" fillId="25" borderId="106" xfId="333" applyNumberFormat="1" applyFont="1" applyFill="1" applyBorder="1" applyAlignment="1" applyProtection="1">
      <alignment horizontal="center" vertical="center" wrapText="1"/>
      <protection/>
    </xf>
    <xf numFmtId="0" fontId="56" fillId="25" borderId="50" xfId="0" applyFont="1" applyFill="1" applyBorder="1" applyAlignment="1" applyProtection="1">
      <alignment/>
      <protection/>
    </xf>
    <xf numFmtId="0" fontId="56" fillId="25" borderId="100" xfId="0" applyFont="1" applyFill="1" applyBorder="1" applyAlignment="1" applyProtection="1">
      <alignment/>
      <protection/>
    </xf>
    <xf numFmtId="3" fontId="7" fillId="25" borderId="107" xfId="333" applyNumberFormat="1" applyFont="1" applyFill="1" applyBorder="1" applyAlignment="1" applyProtection="1">
      <alignment horizontal="center" vertical="center" wrapText="1"/>
      <protection/>
    </xf>
    <xf numFmtId="0" fontId="56" fillId="25" borderId="108" xfId="0" applyFont="1" applyFill="1" applyBorder="1" applyAlignment="1" applyProtection="1">
      <alignment/>
      <protection/>
    </xf>
    <xf numFmtId="0" fontId="56" fillId="25" borderId="109" xfId="0" applyFont="1" applyFill="1" applyBorder="1" applyAlignment="1" applyProtection="1">
      <alignment/>
      <protection/>
    </xf>
    <xf numFmtId="3" fontId="12" fillId="15" borderId="34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34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54" xfId="333" applyNumberFormat="1" applyFont="1" applyFill="1" applyBorder="1" applyAlignment="1" applyProtection="1">
      <alignment horizontal="center" vertical="center" wrapText="1"/>
      <protection locked="0"/>
    </xf>
    <xf numFmtId="3" fontId="12" fillId="0" borderId="31" xfId="333" applyNumberFormat="1" applyFont="1" applyFill="1" applyBorder="1" applyAlignment="1" applyProtection="1">
      <alignment horizontal="center" vertical="center" wrapText="1"/>
      <protection/>
    </xf>
    <xf numFmtId="3" fontId="12" fillId="25" borderId="31" xfId="33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3" fontId="53" fillId="4" borderId="31" xfId="0" applyNumberFormat="1" applyFont="1" applyFill="1" applyBorder="1" applyAlignment="1" applyProtection="1">
      <alignment horizontal="center" vertical="center" wrapText="1"/>
      <protection hidden="1"/>
    </xf>
    <xf numFmtId="3" fontId="12" fillId="39" borderId="34" xfId="33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3" fontId="61" fillId="51" borderId="50" xfId="2056" applyNumberFormat="1" applyFont="1" applyFill="1" applyBorder="1" applyAlignment="1">
      <alignment horizontal="center" vertical="center"/>
    </xf>
    <xf numFmtId="0" fontId="70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0" fillId="0" borderId="0" xfId="0" applyAlignment="1">
      <alignment vertical="center" wrapText="1"/>
    </xf>
    <xf numFmtId="3" fontId="12" fillId="15" borderId="31" xfId="333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0" fontId="73" fillId="0" borderId="31" xfId="0" applyFont="1" applyFill="1" applyBorder="1" applyAlignment="1">
      <alignment vertical="center"/>
    </xf>
    <xf numFmtId="3" fontId="69" fillId="87" borderId="35" xfId="0" applyNumberFormat="1" applyFont="1" applyFill="1" applyBorder="1" applyAlignment="1">
      <alignment horizontal="center" vertical="center" wrapText="1"/>
    </xf>
    <xf numFmtId="0" fontId="10" fillId="87" borderId="53" xfId="0" applyFont="1" applyFill="1" applyBorder="1" applyAlignment="1">
      <alignment vertical="center"/>
    </xf>
    <xf numFmtId="0" fontId="10" fillId="87" borderId="57" xfId="0" applyFont="1" applyFill="1" applyBorder="1" applyAlignment="1">
      <alignment vertical="center"/>
    </xf>
    <xf numFmtId="0" fontId="10" fillId="87" borderId="53" xfId="0" applyFont="1" applyFill="1" applyBorder="1" applyAlignment="1">
      <alignment vertical="center"/>
    </xf>
    <xf numFmtId="0" fontId="42" fillId="0" borderId="110" xfId="0" applyFont="1" applyFill="1" applyBorder="1" applyAlignment="1">
      <alignment horizontal="left" vertical="center" wrapText="1" indent="2"/>
    </xf>
    <xf numFmtId="0" fontId="44" fillId="0" borderId="41" xfId="0" applyFont="1" applyBorder="1" applyAlignment="1">
      <alignment vertical="center" wrapText="1"/>
    </xf>
    <xf numFmtId="0" fontId="0" fillId="0" borderId="0" xfId="0" applyAlignment="1">
      <alignment/>
    </xf>
    <xf numFmtId="3" fontId="10" fillId="84" borderId="57" xfId="0" applyNumberFormat="1" applyFont="1" applyFill="1" applyBorder="1" applyAlignment="1">
      <alignment horizontal="center" vertical="center"/>
    </xf>
    <xf numFmtId="3" fontId="10" fillId="84" borderId="31" xfId="0" applyNumberFormat="1" applyFont="1" applyFill="1" applyBorder="1" applyAlignment="1">
      <alignment horizontal="center" vertical="center"/>
    </xf>
    <xf numFmtId="16" fontId="2" fillId="43" borderId="31" xfId="1611" applyNumberFormat="1" applyFill="1" applyBorder="1" applyProtection="1">
      <alignment/>
      <protection hidden="1" locked="0"/>
    </xf>
    <xf numFmtId="0" fontId="74" fillId="0" borderId="31" xfId="0" applyFont="1" applyBorder="1" applyAlignment="1" applyProtection="1">
      <alignment horizontal="center"/>
      <protection/>
    </xf>
    <xf numFmtId="0" fontId="27" fillId="0" borderId="3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74" fillId="0" borderId="31" xfId="0" applyFont="1" applyBorder="1" applyAlignment="1" applyProtection="1">
      <alignment horizontal="center" vertical="center"/>
      <protection/>
    </xf>
    <xf numFmtId="0" fontId="74" fillId="0" borderId="31" xfId="0" applyFont="1" applyBorder="1" applyAlignment="1" applyProtection="1">
      <alignment horizontal="center" vertical="center" wrapText="1"/>
      <protection/>
    </xf>
    <xf numFmtId="0" fontId="72" fillId="0" borderId="3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vertical="center" wrapText="1"/>
      <protection/>
    </xf>
    <xf numFmtId="0" fontId="42" fillId="0" borderId="41" xfId="0" applyFont="1" applyBorder="1" applyAlignment="1">
      <alignment horizontal="left" vertical="center" indent="2"/>
    </xf>
    <xf numFmtId="183" fontId="3" fillId="15" borderId="31" xfId="1611" applyNumberFormat="1" applyFont="1" applyFill="1" applyBorder="1" applyAlignment="1" applyProtection="1">
      <alignment horizontal="left"/>
      <protection locked="0"/>
    </xf>
    <xf numFmtId="0" fontId="48" fillId="0" borderId="59" xfId="0" applyFont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 wrapText="1"/>
    </xf>
    <xf numFmtId="0" fontId="42" fillId="0" borderId="80" xfId="0" applyFont="1" applyFill="1" applyBorder="1" applyAlignment="1">
      <alignment horizontal="left" vertical="center" indent="2"/>
    </xf>
    <xf numFmtId="3" fontId="62" fillId="0" borderId="80" xfId="2056" applyNumberFormat="1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43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indent="2"/>
    </xf>
    <xf numFmtId="0" fontId="42" fillId="25" borderId="35" xfId="0" applyFont="1" applyFill="1" applyBorder="1" applyAlignment="1">
      <alignment horizontal="left" vertical="center"/>
    </xf>
    <xf numFmtId="0" fontId="42" fillId="25" borderId="36" xfId="0" applyFont="1" applyFill="1" applyBorder="1" applyAlignment="1">
      <alignment horizontal="left" vertical="center"/>
    </xf>
    <xf numFmtId="0" fontId="46" fillId="25" borderId="36" xfId="0" applyFont="1" applyFill="1" applyBorder="1" applyAlignment="1">
      <alignment vertical="center"/>
    </xf>
    <xf numFmtId="0" fontId="42" fillId="0" borderId="111" xfId="0" applyFont="1" applyBorder="1" applyAlignment="1">
      <alignment horizontal="left" vertical="center"/>
    </xf>
    <xf numFmtId="0" fontId="42" fillId="0" borderId="112" xfId="0" applyFont="1" applyBorder="1" applyAlignment="1">
      <alignment horizontal="left" vertical="center"/>
    </xf>
    <xf numFmtId="0" fontId="42" fillId="0" borderId="112" xfId="0" applyFont="1" applyFill="1" applyBorder="1" applyAlignment="1">
      <alignment horizontal="left" vertical="center" indent="2"/>
    </xf>
    <xf numFmtId="3" fontId="62" fillId="0" borderId="113" xfId="2056" applyNumberFormat="1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left" vertical="center" wrapText="1" indent="2"/>
    </xf>
    <xf numFmtId="0" fontId="44" fillId="0" borderId="0" xfId="0" applyFont="1" applyFill="1" applyAlignment="1">
      <alignment vertical="center"/>
    </xf>
    <xf numFmtId="0" fontId="46" fillId="0" borderId="71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left" vertical="center" wrapText="1" indent="2"/>
    </xf>
    <xf numFmtId="3" fontId="62" fillId="0" borderId="71" xfId="2056" applyNumberFormat="1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vertical="center"/>
    </xf>
    <xf numFmtId="3" fontId="63" fillId="0" borderId="31" xfId="2056" applyNumberFormat="1" applyFont="1" applyFill="1" applyBorder="1" applyAlignment="1">
      <alignment horizontal="center" vertical="center"/>
    </xf>
    <xf numFmtId="3" fontId="61" fillId="51" borderId="31" xfId="2056" applyNumberFormat="1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 wrapText="1"/>
    </xf>
    <xf numFmtId="0" fontId="42" fillId="0" borderId="71" xfId="0" applyFont="1" applyBorder="1" applyAlignment="1">
      <alignment horizontal="left" vertical="center" indent="2"/>
    </xf>
    <xf numFmtId="0" fontId="42" fillId="0" borderId="80" xfId="0" applyFont="1" applyBorder="1" applyAlignment="1">
      <alignment horizontal="left" vertical="center" indent="2"/>
    </xf>
    <xf numFmtId="0" fontId="44" fillId="0" borderId="71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left" vertical="center" indent="2"/>
    </xf>
    <xf numFmtId="0" fontId="44" fillId="0" borderId="31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3" fontId="61" fillId="51" borderId="71" xfId="2056" applyNumberFormat="1" applyFont="1" applyFill="1" applyBorder="1" applyAlignment="1">
      <alignment horizontal="center" vertical="center"/>
    </xf>
    <xf numFmtId="3" fontId="63" fillId="0" borderId="71" xfId="2056" applyNumberFormat="1" applyFont="1" applyFill="1" applyBorder="1" applyAlignment="1">
      <alignment horizontal="center" vertical="center"/>
    </xf>
    <xf numFmtId="3" fontId="75" fillId="0" borderId="31" xfId="2056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3" fontId="7" fillId="15" borderId="38" xfId="333" applyNumberFormat="1" applyFont="1" applyFill="1" applyBorder="1" applyAlignment="1" applyProtection="1">
      <alignment horizontal="center" vertical="center" wrapText="1"/>
      <protection locked="0"/>
    </xf>
    <xf numFmtId="0" fontId="7" fillId="15" borderId="50" xfId="675" applyNumberFormat="1" applyFont="1" applyFill="1" applyBorder="1" applyAlignment="1" applyProtection="1">
      <alignment horizontal="center" vertical="center" wrapText="1"/>
      <protection locked="0"/>
    </xf>
    <xf numFmtId="0" fontId="7" fillId="15" borderId="70" xfId="675" applyNumberFormat="1" applyFont="1" applyFill="1" applyBorder="1" applyAlignment="1" applyProtection="1">
      <alignment horizontal="center" vertical="center" wrapText="1"/>
      <protection locked="0"/>
    </xf>
    <xf numFmtId="3" fontId="124" fillId="75" borderId="70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70" xfId="675" applyNumberFormat="1" applyFont="1" applyFill="1" applyBorder="1" applyAlignment="1" applyProtection="1">
      <alignment horizontal="center" vertical="center" wrapText="1"/>
      <protection locked="0"/>
    </xf>
    <xf numFmtId="0" fontId="7" fillId="15" borderId="51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50" xfId="675" applyNumberFormat="1" applyFont="1" applyFill="1" applyBorder="1" applyAlignment="1" applyProtection="1">
      <alignment horizontal="center" vertical="center" wrapText="1"/>
      <protection locked="0"/>
    </xf>
    <xf numFmtId="3" fontId="124" fillId="75" borderId="80" xfId="333" applyNumberFormat="1" applyFont="1" applyFill="1" applyBorder="1" applyAlignment="1" applyProtection="1">
      <alignment horizontal="center" vertical="center" wrapText="1"/>
      <protection locked="0"/>
    </xf>
    <xf numFmtId="3" fontId="12" fillId="75" borderId="50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70" xfId="333" applyNumberFormat="1" applyFont="1" applyFill="1" applyBorder="1" applyAlignment="1" applyProtection="1">
      <alignment horizontal="center" vertical="center" wrapText="1"/>
      <protection locked="0"/>
    </xf>
    <xf numFmtId="3" fontId="7" fillId="15" borderId="114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0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1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4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5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39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82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85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83" xfId="675" applyNumberFormat="1" applyFont="1" applyFill="1" applyBorder="1" applyAlignment="1" applyProtection="1">
      <alignment horizontal="center" vertical="center" wrapText="1"/>
      <protection locked="0"/>
    </xf>
    <xf numFmtId="3" fontId="7" fillId="15" borderId="40" xfId="333" applyNumberFormat="1" applyFont="1" applyFill="1" applyBorder="1" applyAlignment="1" applyProtection="1">
      <alignment horizontal="center" vertical="center" wrapText="1"/>
      <protection locked="0"/>
    </xf>
    <xf numFmtId="3" fontId="12" fillId="15" borderId="100" xfId="333" applyNumberFormat="1" applyFont="1" applyFill="1" applyBorder="1" applyAlignment="1" applyProtection="1">
      <alignment horizontal="center" vertical="center" wrapText="1"/>
      <protection locked="0"/>
    </xf>
    <xf numFmtId="0" fontId="46" fillId="0" borderId="94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46" fillId="0" borderId="9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6" fillId="25" borderId="117" xfId="0" applyFont="1" applyFill="1" applyBorder="1" applyAlignment="1">
      <alignment horizontal="left" vertical="center" wrapText="1"/>
    </xf>
    <xf numFmtId="0" fontId="6" fillId="25" borderId="118" xfId="0" applyFont="1" applyFill="1" applyBorder="1" applyAlignment="1">
      <alignment horizontal="left" vertical="center" wrapText="1"/>
    </xf>
    <xf numFmtId="3" fontId="53" fillId="25" borderId="91" xfId="2056" applyNumberFormat="1" applyFont="1" applyFill="1" applyBorder="1" applyAlignment="1" applyProtection="1">
      <alignment horizontal="center" vertical="center"/>
      <protection hidden="1"/>
    </xf>
    <xf numFmtId="3" fontId="53" fillId="25" borderId="84" xfId="2056" applyNumberFormat="1" applyFont="1" applyFill="1" applyBorder="1" applyAlignment="1" applyProtection="1">
      <alignment horizontal="center" vertical="center"/>
      <protection hidden="1"/>
    </xf>
    <xf numFmtId="0" fontId="64" fillId="0" borderId="93" xfId="1659" applyFont="1" applyFill="1" applyBorder="1" applyAlignment="1">
      <alignment horizontal="center" vertical="center"/>
      <protection/>
    </xf>
    <xf numFmtId="3" fontId="6" fillId="6" borderId="52" xfId="674" applyNumberFormat="1" applyFont="1" applyFill="1" applyBorder="1" applyAlignment="1" applyProtection="1">
      <alignment horizontal="center" vertical="center" wrapText="1"/>
      <protection/>
    </xf>
    <xf numFmtId="3" fontId="6" fillId="6" borderId="54" xfId="674" applyNumberFormat="1" applyFont="1" applyFill="1" applyBorder="1" applyAlignment="1" applyProtection="1">
      <alignment horizontal="center" vertical="center" wrapText="1"/>
      <protection/>
    </xf>
    <xf numFmtId="0" fontId="27" fillId="0" borderId="5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52" fillId="84" borderId="33" xfId="0" applyFont="1" applyFill="1" applyBorder="1" applyAlignment="1" applyProtection="1">
      <alignment horizontal="center" vertical="center"/>
      <protection/>
    </xf>
    <xf numFmtId="0" fontId="52" fillId="84" borderId="0" xfId="0" applyFont="1" applyFill="1" applyBorder="1" applyAlignment="1" applyProtection="1">
      <alignment horizontal="center" vertical="center"/>
      <protection/>
    </xf>
    <xf numFmtId="0" fontId="52" fillId="84" borderId="48" xfId="0" applyFont="1" applyFill="1" applyBorder="1" applyAlignment="1" applyProtection="1">
      <alignment horizontal="center" vertical="center"/>
      <protection/>
    </xf>
    <xf numFmtId="0" fontId="52" fillId="84" borderId="30" xfId="0" applyFont="1" applyFill="1" applyBorder="1" applyAlignment="1" applyProtection="1">
      <alignment horizontal="center" vertical="center"/>
      <protection/>
    </xf>
  </cellXfs>
  <cellStyles count="2053">
    <cellStyle name="Normal" xfId="0"/>
    <cellStyle name="20% - Colore 1" xfId="15"/>
    <cellStyle name="20% - Colore 1 2" xfId="16"/>
    <cellStyle name="20% - Colore 1 2 2" xfId="17"/>
    <cellStyle name="20% - Colore 1 2 3" xfId="18"/>
    <cellStyle name="20% - Colore 1 2 4" xfId="19"/>
    <cellStyle name="20% - Colore 1 2 5" xfId="20"/>
    <cellStyle name="20% - Colore 1 2 6" xfId="21"/>
    <cellStyle name="20% - Colore 1 3" xfId="22"/>
    <cellStyle name="20% - Colore 1 4" xfId="23"/>
    <cellStyle name="20% - Colore 2" xfId="24"/>
    <cellStyle name="20% - Colore 2 2" xfId="25"/>
    <cellStyle name="20% - Colore 2 2 2" xfId="26"/>
    <cellStyle name="20% - Colore 2 2 3" xfId="27"/>
    <cellStyle name="20% - Colore 2 2 4" xfId="28"/>
    <cellStyle name="20% - Colore 2 2 5" xfId="29"/>
    <cellStyle name="20% - Colore 2 2 6" xfId="30"/>
    <cellStyle name="20% - Colore 2 3" xfId="31"/>
    <cellStyle name="20% - Colore 2 4" xfId="32"/>
    <cellStyle name="20% - Colore 3" xfId="33"/>
    <cellStyle name="20% - Colore 3 2" xfId="34"/>
    <cellStyle name="20% - Colore 3 2 2" xfId="35"/>
    <cellStyle name="20% - Colore 3 2 3" xfId="36"/>
    <cellStyle name="20% - Colore 3 2 4" xfId="37"/>
    <cellStyle name="20% - Colore 3 2 5" xfId="38"/>
    <cellStyle name="20% - Colore 3 2 6" xfId="39"/>
    <cellStyle name="20% - Colore 3 3" xfId="40"/>
    <cellStyle name="20% - Colore 3 4" xfId="41"/>
    <cellStyle name="20% - Colore 4" xfId="42"/>
    <cellStyle name="20% - Colore 4 2" xfId="43"/>
    <cellStyle name="20% - Colore 4 2 2" xfId="44"/>
    <cellStyle name="20% - Colore 4 2 3" xfId="45"/>
    <cellStyle name="20% - Colore 4 2 4" xfId="46"/>
    <cellStyle name="20% - Colore 4 2 5" xfId="47"/>
    <cellStyle name="20% - Colore 4 2 6" xfId="48"/>
    <cellStyle name="20% - Colore 4 3" xfId="49"/>
    <cellStyle name="20% - Colore 4 4" xfId="50"/>
    <cellStyle name="20% - Colore 5" xfId="51"/>
    <cellStyle name="20% - Colore 5 2" xfId="52"/>
    <cellStyle name="20% - Colore 5 2 2" xfId="53"/>
    <cellStyle name="20% - Colore 5 2 3" xfId="54"/>
    <cellStyle name="20% - Colore 5 2 4" xfId="55"/>
    <cellStyle name="20% - Colore 5 2 5" xfId="56"/>
    <cellStyle name="20% - Colore 6" xfId="57"/>
    <cellStyle name="20% - Colore 6 2" xfId="58"/>
    <cellStyle name="20% - Colore 6 2 2" xfId="59"/>
    <cellStyle name="20% - Colore 6 2 3" xfId="60"/>
    <cellStyle name="20% - Colore 6 2 4" xfId="61"/>
    <cellStyle name="20% - Colore 6 2 5" xfId="62"/>
    <cellStyle name="20% - Colore 6 3" xfId="63"/>
    <cellStyle name="40% - Colore 1" xfId="64"/>
    <cellStyle name="40% - Colore 1 2" xfId="65"/>
    <cellStyle name="40% - Colore 1 2 2" xfId="66"/>
    <cellStyle name="40% - Colore 1 2 3" xfId="67"/>
    <cellStyle name="40% - Colore 1 2 4" xfId="68"/>
    <cellStyle name="40% - Colore 1 2 5" xfId="69"/>
    <cellStyle name="40% - Colore 1 2 6" xfId="70"/>
    <cellStyle name="40% - Colore 1 3" xfId="71"/>
    <cellStyle name="40% - Colore 2" xfId="72"/>
    <cellStyle name="40% - Colore 2 2" xfId="73"/>
    <cellStyle name="40% - Colore 2 2 2" xfId="74"/>
    <cellStyle name="40% - Colore 2 2 3" xfId="75"/>
    <cellStyle name="40% - Colore 2 2 4" xfId="76"/>
    <cellStyle name="40% - Colore 2 2 5" xfId="77"/>
    <cellStyle name="40% - Colore 3" xfId="78"/>
    <cellStyle name="40% - Colore 3 2" xfId="79"/>
    <cellStyle name="40% - Colore 3 2 2" xfId="80"/>
    <cellStyle name="40% - Colore 3 2 3" xfId="81"/>
    <cellStyle name="40% - Colore 3 2 4" xfId="82"/>
    <cellStyle name="40% - Colore 3 2 5" xfId="83"/>
    <cellStyle name="40% - Colore 3 2 6" xfId="84"/>
    <cellStyle name="40% - Colore 3 3" xfId="85"/>
    <cellStyle name="40% - Colore 3 4" xfId="86"/>
    <cellStyle name="40% - Colore 4" xfId="87"/>
    <cellStyle name="40% - Colore 4 2" xfId="88"/>
    <cellStyle name="40% - Colore 4 2 2" xfId="89"/>
    <cellStyle name="40% - Colore 4 2 3" xfId="90"/>
    <cellStyle name="40% - Colore 4 2 4" xfId="91"/>
    <cellStyle name="40% - Colore 4 2 5" xfId="92"/>
    <cellStyle name="40% - Colore 4 2 6" xfId="93"/>
    <cellStyle name="40% - Colore 4 3" xfId="94"/>
    <cellStyle name="40% - Colore 5" xfId="95"/>
    <cellStyle name="40% - Colore 5 2" xfId="96"/>
    <cellStyle name="40% - Colore 5 2 2" xfId="97"/>
    <cellStyle name="40% - Colore 5 2 3" xfId="98"/>
    <cellStyle name="40% - Colore 5 2 4" xfId="99"/>
    <cellStyle name="40% - Colore 5 2 5" xfId="100"/>
    <cellStyle name="40% - Colore 5 3" xfId="101"/>
    <cellStyle name="40% - Colore 6" xfId="102"/>
    <cellStyle name="40% - Colore 6 2" xfId="103"/>
    <cellStyle name="40% - Colore 6 2 2" xfId="104"/>
    <cellStyle name="40% - Colore 6 2 3" xfId="105"/>
    <cellStyle name="40% - Colore 6 2 4" xfId="106"/>
    <cellStyle name="40% - Colore 6 2 5" xfId="107"/>
    <cellStyle name="40% - Colore 6 2 6" xfId="108"/>
    <cellStyle name="40% - Colore 6 3" xfId="109"/>
    <cellStyle name="60% - Colore 1" xfId="110"/>
    <cellStyle name="60% - Colore 1 2" xfId="111"/>
    <cellStyle name="60% - Colore 1 2 2" xfId="112"/>
    <cellStyle name="60% - Colore 1 2 3" xfId="113"/>
    <cellStyle name="60% - Colore 1 2 4" xfId="114"/>
    <cellStyle name="60% - Colore 1 2 5" xfId="115"/>
    <cellStyle name="60% - Colore 1 3" xfId="116"/>
    <cellStyle name="60% - Colore 2" xfId="117"/>
    <cellStyle name="60% - Colore 2 2" xfId="118"/>
    <cellStyle name="60% - Colore 2 2 2" xfId="119"/>
    <cellStyle name="60% - Colore 2 2 3" xfId="120"/>
    <cellStyle name="60% - Colore 2 2 4" xfId="121"/>
    <cellStyle name="60% - Colore 2 3" xfId="122"/>
    <cellStyle name="60% - Colore 3" xfId="123"/>
    <cellStyle name="60% - Colore 3 2" xfId="124"/>
    <cellStyle name="60% - Colore 3 2 2" xfId="125"/>
    <cellStyle name="60% - Colore 3 2 3" xfId="126"/>
    <cellStyle name="60% - Colore 3 2 4" xfId="127"/>
    <cellStyle name="60% - Colore 3 2 5" xfId="128"/>
    <cellStyle name="60% - Colore 3 3" xfId="129"/>
    <cellStyle name="60% - Colore 3 4" xfId="130"/>
    <cellStyle name="60% - Colore 4" xfId="131"/>
    <cellStyle name="60% - Colore 4 2" xfId="132"/>
    <cellStyle name="60% - Colore 4 2 2" xfId="133"/>
    <cellStyle name="60% - Colore 4 2 3" xfId="134"/>
    <cellStyle name="60% - Colore 4 2 4" xfId="135"/>
    <cellStyle name="60% - Colore 4 2 5" xfId="136"/>
    <cellStyle name="60% - Colore 4 3" xfId="137"/>
    <cellStyle name="60% - Colore 4 4" xfId="138"/>
    <cellStyle name="60% - Colore 5" xfId="139"/>
    <cellStyle name="60% - Colore 5 2" xfId="140"/>
    <cellStyle name="60% - Colore 5 2 2" xfId="141"/>
    <cellStyle name="60% - Colore 5 2 3" xfId="142"/>
    <cellStyle name="60% - Colore 5 2 4" xfId="143"/>
    <cellStyle name="60% - Colore 5 3" xfId="144"/>
    <cellStyle name="60% - Colore 6" xfId="145"/>
    <cellStyle name="60% - Colore 6 2" xfId="146"/>
    <cellStyle name="60% - Colore 6 2 2" xfId="147"/>
    <cellStyle name="60% - Colore 6 2 3" xfId="148"/>
    <cellStyle name="60% - Colore 6 2 4" xfId="149"/>
    <cellStyle name="60% - Colore 6 2 5" xfId="150"/>
    <cellStyle name="60% - Colore 6 3" xfId="151"/>
    <cellStyle name="60% - Colore 6 4" xfId="152"/>
    <cellStyle name="Calcolo" xfId="153"/>
    <cellStyle name="Calcolo 2" xfId="154"/>
    <cellStyle name="Calcolo 2 2" xfId="155"/>
    <cellStyle name="Calcolo 2 3" xfId="156"/>
    <cellStyle name="Calcolo 2 4" xfId="157"/>
    <cellStyle name="Calcolo 2 5" xfId="158"/>
    <cellStyle name="Calcolo 3" xfId="159"/>
    <cellStyle name="Cella collegata" xfId="160"/>
    <cellStyle name="Cella collegata 2" xfId="161"/>
    <cellStyle name="Cella collegata 2 2" xfId="162"/>
    <cellStyle name="Cella collegata 2 3" xfId="163"/>
    <cellStyle name="Cella collegata 2 4" xfId="164"/>
    <cellStyle name="Cella collegata 3" xfId="165"/>
    <cellStyle name="Cella da controllare" xfId="166"/>
    <cellStyle name="Cella da controllare 2" xfId="167"/>
    <cellStyle name="Cella da controllare 2 2" xfId="168"/>
    <cellStyle name="Cella da controllare 2 3" xfId="169"/>
    <cellStyle name="Cella da controllare 2 4" xfId="170"/>
    <cellStyle name="Hyperlink" xfId="171"/>
    <cellStyle name="Followed Hyperlink" xfId="172"/>
    <cellStyle name="Colore 1" xfId="173"/>
    <cellStyle name="Colore 1 2" xfId="174"/>
    <cellStyle name="Colore 1 2 2" xfId="175"/>
    <cellStyle name="Colore 1 2 3" xfId="176"/>
    <cellStyle name="Colore 1 2 4" xfId="177"/>
    <cellStyle name="Colore 1 2 5" xfId="178"/>
    <cellStyle name="Colore 1 3" xfId="179"/>
    <cellStyle name="Colore 2" xfId="180"/>
    <cellStyle name="Colore 2 2" xfId="181"/>
    <cellStyle name="Colore 2 2 2" xfId="182"/>
    <cellStyle name="Colore 2 2 3" xfId="183"/>
    <cellStyle name="Colore 2 2 4" xfId="184"/>
    <cellStyle name="Colore 2 3" xfId="185"/>
    <cellStyle name="Colore 2 4" xfId="186"/>
    <cellStyle name="Colore 2 5" xfId="187"/>
    <cellStyle name="Colore 3" xfId="188"/>
    <cellStyle name="Colore 3 2" xfId="189"/>
    <cellStyle name="Colore 3 2 2" xfId="190"/>
    <cellStyle name="Colore 3 2 3" xfId="191"/>
    <cellStyle name="Colore 3 2 4" xfId="192"/>
    <cellStyle name="Colore 3 3" xfId="193"/>
    <cellStyle name="Colore 4" xfId="194"/>
    <cellStyle name="Colore 4 2" xfId="195"/>
    <cellStyle name="Colore 4 2 2" xfId="196"/>
    <cellStyle name="Colore 4 2 3" xfId="197"/>
    <cellStyle name="Colore 4 2 4" xfId="198"/>
    <cellStyle name="Colore 4 2 5" xfId="199"/>
    <cellStyle name="Colore 4 3" xfId="200"/>
    <cellStyle name="Colore 5" xfId="201"/>
    <cellStyle name="Colore 5 2" xfId="202"/>
    <cellStyle name="Colore 5 2 2" xfId="203"/>
    <cellStyle name="Colore 5 2 3" xfId="204"/>
    <cellStyle name="Colore 5 2 4" xfId="205"/>
    <cellStyle name="Colore 6" xfId="206"/>
    <cellStyle name="Colore 6 2" xfId="207"/>
    <cellStyle name="Colore 6 2 2" xfId="208"/>
    <cellStyle name="Colore 6 2 3" xfId="209"/>
    <cellStyle name="Colore 6 2 4" xfId="210"/>
    <cellStyle name="Colore 6 3" xfId="211"/>
    <cellStyle name="Comma 2" xfId="212"/>
    <cellStyle name="Comma 2 2" xfId="213"/>
    <cellStyle name="Comma 2 2 2" xfId="214"/>
    <cellStyle name="Comma 2 2 2 2" xfId="215"/>
    <cellStyle name="Comma 2 2 2 2 2" xfId="216"/>
    <cellStyle name="Comma 2 2 2 3" xfId="217"/>
    <cellStyle name="Comma 2 2 2 4" xfId="218"/>
    <cellStyle name="Comma 2 2 3" xfId="219"/>
    <cellStyle name="Comma 2 2 4" xfId="220"/>
    <cellStyle name="Comma 2 2 4 2" xfId="221"/>
    <cellStyle name="Comma 2 2 5" xfId="222"/>
    <cellStyle name="Comma 2 2 6" xfId="223"/>
    <cellStyle name="Comma 2 3" xfId="224"/>
    <cellStyle name="Comma 2 3 2" xfId="225"/>
    <cellStyle name="Comma 2 3 2 2" xfId="226"/>
    <cellStyle name="Comma 2 3 2 2 2" xfId="227"/>
    <cellStyle name="Comma 2 3 2 3" xfId="228"/>
    <cellStyle name="Comma 2 3 3" xfId="229"/>
    <cellStyle name="Comma 2 3 3 2" xfId="230"/>
    <cellStyle name="Comma 2 3 4" xfId="231"/>
    <cellStyle name="Comma 2 4" xfId="232"/>
    <cellStyle name="Comma 2 4 2" xfId="233"/>
    <cellStyle name="Comma 2 4 2 2" xfId="234"/>
    <cellStyle name="Comma 2 4 3" xfId="235"/>
    <cellStyle name="Comma 2 4 3 2" xfId="236"/>
    <cellStyle name="Comma 2 4 4" xfId="237"/>
    <cellStyle name="Comma 2 4 5" xfId="238"/>
    <cellStyle name="Comma 2 5" xfId="239"/>
    <cellStyle name="Comma 2 6" xfId="240"/>
    <cellStyle name="Comma 2 6 2" xfId="241"/>
    <cellStyle name="Comma 2 7" xfId="242"/>
    <cellStyle name="Comma 2 7 2" xfId="243"/>
    <cellStyle name="Comma 2 8" xfId="244"/>
    <cellStyle name="Euro" xfId="245"/>
    <cellStyle name="Euro 10" xfId="246"/>
    <cellStyle name="Euro 11" xfId="247"/>
    <cellStyle name="Euro 2" xfId="248"/>
    <cellStyle name="Euro 2 2" xfId="249"/>
    <cellStyle name="Euro 2 2 2" xfId="250"/>
    <cellStyle name="Euro 2 2 2 2" xfId="251"/>
    <cellStyle name="Euro 2 2 3" xfId="252"/>
    <cellStyle name="Euro 2 2 4" xfId="253"/>
    <cellStyle name="Euro 2 2 5" xfId="254"/>
    <cellStyle name="Euro 2 3" xfId="255"/>
    <cellStyle name="Euro 2 3 2" xfId="256"/>
    <cellStyle name="Euro 2 4" xfId="257"/>
    <cellStyle name="Euro 2 4 2" xfId="258"/>
    <cellStyle name="Euro 2 5" xfId="259"/>
    <cellStyle name="Euro 2 6" xfId="260"/>
    <cellStyle name="Euro 2 7" xfId="261"/>
    <cellStyle name="Euro 2 8" xfId="262"/>
    <cellStyle name="Euro 2_Beni e servizi" xfId="263"/>
    <cellStyle name="Euro 3" xfId="264"/>
    <cellStyle name="Euro 3 2" xfId="265"/>
    <cellStyle name="Euro 3 2 2" xfId="266"/>
    <cellStyle name="Euro 3 2 3" xfId="267"/>
    <cellStyle name="Euro 3 2 3 2" xfId="268"/>
    <cellStyle name="Euro 3 3" xfId="269"/>
    <cellStyle name="Euro 3 3 2" xfId="270"/>
    <cellStyle name="Euro 3 3 2 2" xfId="271"/>
    <cellStyle name="Euro 3 3 3" xfId="272"/>
    <cellStyle name="Euro 3 4" xfId="273"/>
    <cellStyle name="Euro 3 5" xfId="274"/>
    <cellStyle name="Euro 3 5 2" xfId="275"/>
    <cellStyle name="Euro 3 6" xfId="276"/>
    <cellStyle name="Euro 3 6 2" xfId="277"/>
    <cellStyle name="Euro 3 7" xfId="278"/>
    <cellStyle name="Euro 3 8" xfId="279"/>
    <cellStyle name="Euro 3 9" xfId="280"/>
    <cellStyle name="Euro 4" xfId="281"/>
    <cellStyle name="Euro 4 2" xfId="282"/>
    <cellStyle name="Euro 4 2 2" xfId="283"/>
    <cellStyle name="Euro 4 2 3" xfId="284"/>
    <cellStyle name="Euro 4 2 4" xfId="285"/>
    <cellStyle name="Euro 4 3" xfId="286"/>
    <cellStyle name="Euro 4 3 2" xfId="287"/>
    <cellStyle name="Euro 4 3 3" xfId="288"/>
    <cellStyle name="Euro 4 4" xfId="289"/>
    <cellStyle name="Euro 4 5" xfId="290"/>
    <cellStyle name="Euro 4 6" xfId="291"/>
    <cellStyle name="Euro 4 7" xfId="292"/>
    <cellStyle name="Euro 4 8" xfId="293"/>
    <cellStyle name="Euro 5" xfId="294"/>
    <cellStyle name="Euro 5 2" xfId="295"/>
    <cellStyle name="Euro 5 2 2" xfId="296"/>
    <cellStyle name="Euro 5 2 2 2" xfId="297"/>
    <cellStyle name="Euro 5 2 3" xfId="298"/>
    <cellStyle name="Euro 5 2 3 2" xfId="299"/>
    <cellStyle name="Euro 5 3" xfId="300"/>
    <cellStyle name="Euro 5 3 2" xfId="301"/>
    <cellStyle name="Euro 5 4" xfId="302"/>
    <cellStyle name="Euro 5 4 2" xfId="303"/>
    <cellStyle name="Euro 5 5" xfId="304"/>
    <cellStyle name="Euro 5 6" xfId="305"/>
    <cellStyle name="Euro 5 7" xfId="306"/>
    <cellStyle name="Euro 6" xfId="307"/>
    <cellStyle name="Euro 6 2" xfId="308"/>
    <cellStyle name="Euro 6 2 2" xfId="309"/>
    <cellStyle name="Euro 6 3" xfId="310"/>
    <cellStyle name="Euro 7" xfId="311"/>
    <cellStyle name="Euro 8" xfId="312"/>
    <cellStyle name="Euro 8 2" xfId="313"/>
    <cellStyle name="Euro 9" xfId="314"/>
    <cellStyle name="Euro 9 2" xfId="315"/>
    <cellStyle name="Excel Built-in Normal" xfId="316"/>
    <cellStyle name="Excel Built-in Normal 1" xfId="317"/>
    <cellStyle name="Excel Built-in Normal 2" xfId="318"/>
    <cellStyle name="Excel Built-in Normal 3" xfId="319"/>
    <cellStyle name="Excel Built-in Normal 3 2" xfId="320"/>
    <cellStyle name="Excel Built-in Normal 3 2 2" xfId="321"/>
    <cellStyle name="Excel Built-in Normal 3 3" xfId="322"/>
    <cellStyle name="Excel Built-in Normal 4" xfId="323"/>
    <cellStyle name="Excel Built-in Normal 4 2" xfId="324"/>
    <cellStyle name="Excel Built-in Normal 5" xfId="325"/>
    <cellStyle name="Input" xfId="326"/>
    <cellStyle name="Input 2" xfId="327"/>
    <cellStyle name="Input 2 2" xfId="328"/>
    <cellStyle name="Input 2 3" xfId="329"/>
    <cellStyle name="Input 2 4" xfId="330"/>
    <cellStyle name="Input 2 5" xfId="331"/>
    <cellStyle name="Input 3" xfId="332"/>
    <cellStyle name="Comma" xfId="333"/>
    <cellStyle name="Comma [0]" xfId="334"/>
    <cellStyle name="Migliaia [0] 10" xfId="335"/>
    <cellStyle name="Migliaia [0] 10 2" xfId="336"/>
    <cellStyle name="Migliaia [0] 10 2 2" xfId="337"/>
    <cellStyle name="Migliaia [0] 10 2 2 2" xfId="338"/>
    <cellStyle name="Migliaia [0] 10 2 3" xfId="339"/>
    <cellStyle name="Migliaia [0] 10 3" xfId="340"/>
    <cellStyle name="Migliaia [0] 10 3 2" xfId="341"/>
    <cellStyle name="Migliaia [0] 10 4" xfId="342"/>
    <cellStyle name="Migliaia [0] 11" xfId="343"/>
    <cellStyle name="Migliaia [0] 11 2" xfId="344"/>
    <cellStyle name="Migliaia [0] 11 2 2" xfId="345"/>
    <cellStyle name="Migliaia [0] 11 3" xfId="346"/>
    <cellStyle name="Migliaia [0] 12" xfId="347"/>
    <cellStyle name="Migliaia [0] 12 2" xfId="348"/>
    <cellStyle name="Migliaia [0] 13" xfId="349"/>
    <cellStyle name="Migliaia [0] 13 2" xfId="350"/>
    <cellStyle name="Migliaia [0] 14" xfId="351"/>
    <cellStyle name="Migliaia [0] 14 2" xfId="352"/>
    <cellStyle name="Migliaia [0] 15" xfId="353"/>
    <cellStyle name="Migliaia [0] 15 2" xfId="354"/>
    <cellStyle name="Migliaia [0] 16" xfId="355"/>
    <cellStyle name="Migliaia [0] 17" xfId="356"/>
    <cellStyle name="Migliaia [0] 2" xfId="357"/>
    <cellStyle name="Migliaia [0] 2 2" xfId="358"/>
    <cellStyle name="Migliaia [0] 2 2 2" xfId="359"/>
    <cellStyle name="Migliaia [0] 2 2 2 2" xfId="360"/>
    <cellStyle name="Migliaia [0] 2 2 2 2 2" xfId="361"/>
    <cellStyle name="Migliaia [0] 2 2 2 2 2 2" xfId="362"/>
    <cellStyle name="Migliaia [0] 2 2 2 2 3" xfId="363"/>
    <cellStyle name="Migliaia [0] 2 2 2 2 3 2" xfId="364"/>
    <cellStyle name="Migliaia [0] 2 2 2 2 4" xfId="365"/>
    <cellStyle name="Migliaia [0] 2 2 2 2 4 2" xfId="366"/>
    <cellStyle name="Migliaia [0] 2 2 2 2 5" xfId="367"/>
    <cellStyle name="Migliaia [0] 2 2 2 2 6" xfId="368"/>
    <cellStyle name="Migliaia [0] 2 2 2 3" xfId="369"/>
    <cellStyle name="Migliaia [0] 2 2 2 4" xfId="370"/>
    <cellStyle name="Migliaia [0] 2 2 2 4 2" xfId="371"/>
    <cellStyle name="Migliaia [0] 2 2 2 5" xfId="372"/>
    <cellStyle name="Migliaia [0] 2 2 2 5 2" xfId="373"/>
    <cellStyle name="Migliaia [0] 2 2 2 6" xfId="374"/>
    <cellStyle name="Migliaia [0] 2 2 2 7" xfId="375"/>
    <cellStyle name="Migliaia [0] 2 2 3" xfId="376"/>
    <cellStyle name="Migliaia [0] 2 2 3 2" xfId="377"/>
    <cellStyle name="Migliaia [0] 2 2 3 2 2" xfId="378"/>
    <cellStyle name="Migliaia [0] 2 2 3 2 3" xfId="379"/>
    <cellStyle name="Migliaia [0] 2 2 3 2 3 2" xfId="380"/>
    <cellStyle name="Migliaia [0] 2 2 3 3" xfId="381"/>
    <cellStyle name="Migliaia [0] 2 2 3 3 2" xfId="382"/>
    <cellStyle name="Migliaia [0] 2 2 3 3 2 2" xfId="383"/>
    <cellStyle name="Migliaia [0] 2 2 3 3 3" xfId="384"/>
    <cellStyle name="Migliaia [0] 2 2 3 4" xfId="385"/>
    <cellStyle name="Migliaia [0] 2 2 3 5" xfId="386"/>
    <cellStyle name="Migliaia [0] 2 2 3 5 2" xfId="387"/>
    <cellStyle name="Migliaia [0] 2 2 3 6" xfId="388"/>
    <cellStyle name="Migliaia [0] 2 2 3 7" xfId="389"/>
    <cellStyle name="Migliaia [0] 2 2 4" xfId="390"/>
    <cellStyle name="Migliaia [0] 2 2 4 2" xfId="391"/>
    <cellStyle name="Migliaia [0] 2 2 4 2 2" xfId="392"/>
    <cellStyle name="Migliaia [0] 2 2 4 2 3" xfId="393"/>
    <cellStyle name="Migliaia [0] 2 2 4 2 3 2" xfId="394"/>
    <cellStyle name="Migliaia [0] 2 2 5" xfId="395"/>
    <cellStyle name="Migliaia [0] 2 2 5 2" xfId="396"/>
    <cellStyle name="Migliaia [0] 2 2 5 2 2" xfId="397"/>
    <cellStyle name="Migliaia [0] 2 2 5 2 2 2" xfId="398"/>
    <cellStyle name="Migliaia [0] 2 2 5 2 3" xfId="399"/>
    <cellStyle name="Migliaia [0] 2 2 5 3" xfId="400"/>
    <cellStyle name="Migliaia [0] 2 2 5 3 2" xfId="401"/>
    <cellStyle name="Migliaia [0] 2 2 5 4" xfId="402"/>
    <cellStyle name="Migliaia [0] 2 2 5 4 2" xfId="403"/>
    <cellStyle name="Migliaia [0] 2 2 5 5" xfId="404"/>
    <cellStyle name="Migliaia [0] 2 2 6" xfId="405"/>
    <cellStyle name="Migliaia [0] 2 2 6 2" xfId="406"/>
    <cellStyle name="Migliaia [0] 2 2 6 2 2" xfId="407"/>
    <cellStyle name="Migliaia [0] 2 2 6 3" xfId="408"/>
    <cellStyle name="Migliaia [0] 2 2 7" xfId="409"/>
    <cellStyle name="Migliaia [0] 2 2 7 2" xfId="410"/>
    <cellStyle name="Migliaia [0] 2 2_RICLASSIFICATO CET 4 TRIM 2013" xfId="411"/>
    <cellStyle name="Migliaia [0] 2 3" xfId="412"/>
    <cellStyle name="Migliaia [0] 2 3 2" xfId="413"/>
    <cellStyle name="Migliaia [0] 2 3 2 2" xfId="414"/>
    <cellStyle name="Migliaia [0] 2 3 2 2 2" xfId="415"/>
    <cellStyle name="Migliaia [0] 2 3 2 3" xfId="416"/>
    <cellStyle name="Migliaia [0] 2 3 2 4" xfId="417"/>
    <cellStyle name="Migliaia [0] 2 3 3" xfId="418"/>
    <cellStyle name="Migliaia [0] 2 3 4" xfId="419"/>
    <cellStyle name="Migliaia [0] 2 3 4 2" xfId="420"/>
    <cellStyle name="Migliaia [0] 2 3 5" xfId="421"/>
    <cellStyle name="Migliaia [0] 2 3 6" xfId="422"/>
    <cellStyle name="Migliaia [0] 2 4" xfId="423"/>
    <cellStyle name="Migliaia [0] 2 4 2" xfId="424"/>
    <cellStyle name="Migliaia [0] 2 4 2 2" xfId="425"/>
    <cellStyle name="Migliaia [0] 2 4 2 3" xfId="426"/>
    <cellStyle name="Migliaia [0] 2 4 2 3 2" xfId="427"/>
    <cellStyle name="Migliaia [0] 2 4 3" xfId="428"/>
    <cellStyle name="Migliaia [0] 2 4 3 2" xfId="429"/>
    <cellStyle name="Migliaia [0] 2 4 3 2 2" xfId="430"/>
    <cellStyle name="Migliaia [0] 2 4 3 3" xfId="431"/>
    <cellStyle name="Migliaia [0] 2 4 4" xfId="432"/>
    <cellStyle name="Migliaia [0] 2 4 5" xfId="433"/>
    <cellStyle name="Migliaia [0] 2 4 5 2" xfId="434"/>
    <cellStyle name="Migliaia [0] 2 4 6" xfId="435"/>
    <cellStyle name="Migliaia [0] 2 4 7" xfId="436"/>
    <cellStyle name="Migliaia [0] 2 5" xfId="437"/>
    <cellStyle name="Migliaia [0] 2 5 2" xfId="438"/>
    <cellStyle name="Migliaia [0] 2 5 3" xfId="439"/>
    <cellStyle name="Migliaia [0] 2 5 3 2" xfId="440"/>
    <cellStyle name="Migliaia [0] 2 5 4" xfId="441"/>
    <cellStyle name="Migliaia [0] 2 5 5" xfId="442"/>
    <cellStyle name="Migliaia [0] 2 6" xfId="443"/>
    <cellStyle name="Migliaia [0] 2 6 2" xfId="444"/>
    <cellStyle name="Migliaia [0] 2 6 2 2" xfId="445"/>
    <cellStyle name="Migliaia [0] 2 6 2 2 2" xfId="446"/>
    <cellStyle name="Migliaia [0] 2 6 2 3" xfId="447"/>
    <cellStyle name="Migliaia [0] 2 6 3" xfId="448"/>
    <cellStyle name="Migliaia [0] 2 6 3 2" xfId="449"/>
    <cellStyle name="Migliaia [0] 2 6 4" xfId="450"/>
    <cellStyle name="Migliaia [0] 2 7" xfId="451"/>
    <cellStyle name="Migliaia [0] 2 7 2" xfId="452"/>
    <cellStyle name="Migliaia [0] 2 7 2 2" xfId="453"/>
    <cellStyle name="Migliaia [0] 2 7 3" xfId="454"/>
    <cellStyle name="Migliaia [0] 2 8" xfId="455"/>
    <cellStyle name="Migliaia [0] 2 8 2" xfId="456"/>
    <cellStyle name="Migliaia [0] 3" xfId="457"/>
    <cellStyle name="Migliaia [0] 3 2" xfId="458"/>
    <cellStyle name="Migliaia [0] 3 2 2" xfId="459"/>
    <cellStyle name="Migliaia [0] 3 2 2 2" xfId="460"/>
    <cellStyle name="Migliaia [0] 3 2 2 2 2" xfId="461"/>
    <cellStyle name="Migliaia [0] 3 2 2 3" xfId="462"/>
    <cellStyle name="Migliaia [0] 3 2 2 4" xfId="463"/>
    <cellStyle name="Migliaia [0] 3 2 2 5" xfId="464"/>
    <cellStyle name="Migliaia [0] 3 2 3" xfId="465"/>
    <cellStyle name="Migliaia [0] 3 2 3 2" xfId="466"/>
    <cellStyle name="Migliaia [0] 3 2 3 3" xfId="467"/>
    <cellStyle name="Migliaia [0] 3 2 3 3 2" xfId="468"/>
    <cellStyle name="Migliaia [0] 3 2 4" xfId="469"/>
    <cellStyle name="Migliaia [0] 3 2 4 2" xfId="470"/>
    <cellStyle name="Migliaia [0] 3 2 4 2 2" xfId="471"/>
    <cellStyle name="Migliaia [0] 3 2 4 3" xfId="472"/>
    <cellStyle name="Migliaia [0] 3 2 4 4" xfId="473"/>
    <cellStyle name="Migliaia [0] 3 2 5" xfId="474"/>
    <cellStyle name="Migliaia [0] 3 3" xfId="475"/>
    <cellStyle name="Migliaia [0] 3 3 2" xfId="476"/>
    <cellStyle name="Migliaia [0] 3 3 2 2" xfId="477"/>
    <cellStyle name="Migliaia [0] 3 3 2 3" xfId="478"/>
    <cellStyle name="Migliaia [0] 3 3 2 3 2" xfId="479"/>
    <cellStyle name="Migliaia [0] 3 3 3" xfId="480"/>
    <cellStyle name="Migliaia [0] 3 3 3 2" xfId="481"/>
    <cellStyle name="Migliaia [0] 3 3 3 2 2" xfId="482"/>
    <cellStyle name="Migliaia [0] 3 3 3 3" xfId="483"/>
    <cellStyle name="Migliaia [0] 3 3 3 3 2" xfId="484"/>
    <cellStyle name="Migliaia [0] 3 3 3 4" xfId="485"/>
    <cellStyle name="Migliaia [0] 3 3 3 5" xfId="486"/>
    <cellStyle name="Migliaia [0] 3 3 4" xfId="487"/>
    <cellStyle name="Migliaia [0] 3 3 5" xfId="488"/>
    <cellStyle name="Migliaia [0] 3 3 5 2" xfId="489"/>
    <cellStyle name="Migliaia [0] 3 3 6" xfId="490"/>
    <cellStyle name="Migliaia [0] 3 4" xfId="491"/>
    <cellStyle name="Migliaia [0] 3 4 2" xfId="492"/>
    <cellStyle name="Migliaia [0] 3 4 3" xfId="493"/>
    <cellStyle name="Migliaia [0] 3 4 3 2" xfId="494"/>
    <cellStyle name="Migliaia [0] 3 4 4" xfId="495"/>
    <cellStyle name="Migliaia [0] 3 5" xfId="496"/>
    <cellStyle name="Migliaia [0] 3 5 2" xfId="497"/>
    <cellStyle name="Migliaia [0] 3 5 2 2" xfId="498"/>
    <cellStyle name="Migliaia [0] 3 5 3" xfId="499"/>
    <cellStyle name="Migliaia [0] 3 5 3 2" xfId="500"/>
    <cellStyle name="Migliaia [0] 3 5 4" xfId="501"/>
    <cellStyle name="Migliaia [0] 3 5 5" xfId="502"/>
    <cellStyle name="Migliaia [0] 3 6" xfId="503"/>
    <cellStyle name="Migliaia [0] 3 6 2" xfId="504"/>
    <cellStyle name="Migliaia [0] 3 7" xfId="505"/>
    <cellStyle name="Migliaia [0] 4" xfId="506"/>
    <cellStyle name="Migliaia [0] 4 2" xfId="507"/>
    <cellStyle name="Migliaia [0] 4 2 2" xfId="508"/>
    <cellStyle name="Migliaia [0] 4 2 2 2" xfId="509"/>
    <cellStyle name="Migliaia [0] 4 2 2 2 2" xfId="510"/>
    <cellStyle name="Migliaia [0] 4 2 2 3" xfId="511"/>
    <cellStyle name="Migliaia [0] 4 2 2 4" xfId="512"/>
    <cellStyle name="Migliaia [0] 4 2 2 5" xfId="513"/>
    <cellStyle name="Migliaia [0] 4 2 3" xfId="514"/>
    <cellStyle name="Migliaia [0] 4 2 3 2" xfId="515"/>
    <cellStyle name="Migliaia [0] 4 2 3 3" xfId="516"/>
    <cellStyle name="Migliaia [0] 4 2 3 3 2" xfId="517"/>
    <cellStyle name="Migliaia [0] 4 2 4" xfId="518"/>
    <cellStyle name="Migliaia [0] 4 2 4 2" xfId="519"/>
    <cellStyle name="Migliaia [0] 4 2 4 2 2" xfId="520"/>
    <cellStyle name="Migliaia [0] 4 2 4 3" xfId="521"/>
    <cellStyle name="Migliaia [0] 4 2 4 4" xfId="522"/>
    <cellStyle name="Migliaia [0] 4 2 5" xfId="523"/>
    <cellStyle name="Migliaia [0] 4 3" xfId="524"/>
    <cellStyle name="Migliaia [0] 4 3 2" xfId="525"/>
    <cellStyle name="Migliaia [0] 4 3 2 2" xfId="526"/>
    <cellStyle name="Migliaia [0] 4 3 2 3" xfId="527"/>
    <cellStyle name="Migliaia [0] 4 3 2 3 2" xfId="528"/>
    <cellStyle name="Migliaia [0] 4 3 3" xfId="529"/>
    <cellStyle name="Migliaia [0] 4 3 3 2" xfId="530"/>
    <cellStyle name="Migliaia [0] 4 3 3 2 2" xfId="531"/>
    <cellStyle name="Migliaia [0] 4 3 3 3" xfId="532"/>
    <cellStyle name="Migliaia [0] 4 3 3 3 2" xfId="533"/>
    <cellStyle name="Migliaia [0] 4 3 3 4" xfId="534"/>
    <cellStyle name="Migliaia [0] 4 3 3 5" xfId="535"/>
    <cellStyle name="Migliaia [0] 4 3 4" xfId="536"/>
    <cellStyle name="Migliaia [0] 4 3 5" xfId="537"/>
    <cellStyle name="Migliaia [0] 4 3 5 2" xfId="538"/>
    <cellStyle name="Migliaia [0] 4 3 6" xfId="539"/>
    <cellStyle name="Migliaia [0] 4 3 6 2" xfId="540"/>
    <cellStyle name="Migliaia [0] 4 3 7" xfId="541"/>
    <cellStyle name="Migliaia [0] 4 3 8" xfId="542"/>
    <cellStyle name="Migliaia [0] 4 4" xfId="543"/>
    <cellStyle name="Migliaia [0] 4 4 2" xfId="544"/>
    <cellStyle name="Migliaia [0] 4 4 2 2" xfId="545"/>
    <cellStyle name="Migliaia [0] 4 4 2 3" xfId="546"/>
    <cellStyle name="Migliaia [0] 4 4 2 3 2" xfId="547"/>
    <cellStyle name="Migliaia [0] 4 4 3" xfId="548"/>
    <cellStyle name="Migliaia [0] 4 4 3 2" xfId="549"/>
    <cellStyle name="Migliaia [0] 4 4 4" xfId="550"/>
    <cellStyle name="Migliaia [0] 4 5" xfId="551"/>
    <cellStyle name="Migliaia [0] 4 5 2" xfId="552"/>
    <cellStyle name="Migliaia [0] 4 5 2 2" xfId="553"/>
    <cellStyle name="Migliaia [0] 4 5 3" xfId="554"/>
    <cellStyle name="Migliaia [0] 4 5 4" xfId="555"/>
    <cellStyle name="Migliaia [0] 4 5 4 2" xfId="556"/>
    <cellStyle name="Migliaia [0] 4 5 5" xfId="557"/>
    <cellStyle name="Migliaia [0] 4 6" xfId="558"/>
    <cellStyle name="Migliaia [0] 4 6 2" xfId="559"/>
    <cellStyle name="Migliaia [0] 4 6 2 2" xfId="560"/>
    <cellStyle name="Migliaia [0] 4 6 3" xfId="561"/>
    <cellStyle name="Migliaia [0] 5" xfId="562"/>
    <cellStyle name="Migliaia [0] 5 10" xfId="563"/>
    <cellStyle name="Migliaia [0] 5 11" xfId="564"/>
    <cellStyle name="Migliaia [0] 5 2" xfId="565"/>
    <cellStyle name="Migliaia [0] 5 2 2" xfId="566"/>
    <cellStyle name="Migliaia [0] 5 2 3" xfId="567"/>
    <cellStyle name="Migliaia [0] 5 2 3 2" xfId="568"/>
    <cellStyle name="Migliaia [0] 5 2 3 2 2" xfId="569"/>
    <cellStyle name="Migliaia [0] 5 2 3 3" xfId="570"/>
    <cellStyle name="Migliaia [0] 5 2 4" xfId="571"/>
    <cellStyle name="Migliaia [0] 5 2 5" xfId="572"/>
    <cellStyle name="Migliaia [0] 5 2 5 2" xfId="573"/>
    <cellStyle name="Migliaia [0] 5 2 6" xfId="574"/>
    <cellStyle name="Migliaia [0] 5 2 6 2" xfId="575"/>
    <cellStyle name="Migliaia [0] 5 2 7" xfId="576"/>
    <cellStyle name="Migliaia [0] 5 2 8" xfId="577"/>
    <cellStyle name="Migliaia [0] 5 3" xfId="578"/>
    <cellStyle name="Migliaia [0] 5 3 2" xfId="579"/>
    <cellStyle name="Migliaia [0] 5 3 2 2" xfId="580"/>
    <cellStyle name="Migliaia [0] 5 3 2 2 2" xfId="581"/>
    <cellStyle name="Migliaia [0] 5 3 2 3" xfId="582"/>
    <cellStyle name="Migliaia [0] 5 3 2 4" xfId="583"/>
    <cellStyle name="Migliaia [0] 5 3 3" xfId="584"/>
    <cellStyle name="Migliaia [0] 5 3 4" xfId="585"/>
    <cellStyle name="Migliaia [0] 5 3 4 2" xfId="586"/>
    <cellStyle name="Migliaia [0] 5 3 5" xfId="587"/>
    <cellStyle name="Migliaia [0] 5 3 5 2" xfId="588"/>
    <cellStyle name="Migliaia [0] 5 3 6" xfId="589"/>
    <cellStyle name="Migliaia [0] 5 3 6 2" xfId="590"/>
    <cellStyle name="Migliaia [0] 5 3 7" xfId="591"/>
    <cellStyle name="Migliaia [0] 5 3 8" xfId="592"/>
    <cellStyle name="Migliaia [0] 5 3 9" xfId="593"/>
    <cellStyle name="Migliaia [0] 5 4" xfId="594"/>
    <cellStyle name="Migliaia [0] 5 4 2" xfId="595"/>
    <cellStyle name="Migliaia [0] 5 4 2 2" xfId="596"/>
    <cellStyle name="Migliaia [0] 5 4 3" xfId="597"/>
    <cellStyle name="Migliaia [0] 5 4 4" xfId="598"/>
    <cellStyle name="Migliaia [0] 5 5" xfId="599"/>
    <cellStyle name="Migliaia [0] 5 6" xfId="600"/>
    <cellStyle name="Migliaia [0] 5 6 2" xfId="601"/>
    <cellStyle name="Migliaia [0] 5 7" xfId="602"/>
    <cellStyle name="Migliaia [0] 5 7 2" xfId="603"/>
    <cellStyle name="Migliaia [0] 5 8" xfId="604"/>
    <cellStyle name="Migliaia [0] 5 8 2" xfId="605"/>
    <cellStyle name="Migliaia [0] 5 9" xfId="606"/>
    <cellStyle name="Migliaia [0] 5 9 2" xfId="607"/>
    <cellStyle name="Migliaia [0] 6" xfId="608"/>
    <cellStyle name="Migliaia [0] 6 10" xfId="609"/>
    <cellStyle name="Migliaia [0] 6 11" xfId="610"/>
    <cellStyle name="Migliaia [0] 6 12" xfId="611"/>
    <cellStyle name="Migliaia [0] 6 2" xfId="612"/>
    <cellStyle name="Migliaia [0] 6 2 2" xfId="613"/>
    <cellStyle name="Migliaia [0] 6 2 2 2" xfId="614"/>
    <cellStyle name="Migliaia [0] 6 2 2 2 2" xfId="615"/>
    <cellStyle name="Migliaia [0] 6 2 2 3" xfId="616"/>
    <cellStyle name="Migliaia [0] 6 2 3" xfId="617"/>
    <cellStyle name="Migliaia [0] 6 2 4" xfId="618"/>
    <cellStyle name="Migliaia [0] 6 2 4 2" xfId="619"/>
    <cellStyle name="Migliaia [0] 6 2 5" xfId="620"/>
    <cellStyle name="Migliaia [0] 6 3" xfId="621"/>
    <cellStyle name="Migliaia [0] 6 3 2" xfId="622"/>
    <cellStyle name="Migliaia [0] 6 3 2 2" xfId="623"/>
    <cellStyle name="Migliaia [0] 6 3 3" xfId="624"/>
    <cellStyle name="Migliaia [0] 6 3 4" xfId="625"/>
    <cellStyle name="Migliaia [0] 6 4" xfId="626"/>
    <cellStyle name="Migliaia [0] 6 5" xfId="627"/>
    <cellStyle name="Migliaia [0] 6 5 2" xfId="628"/>
    <cellStyle name="Migliaia [0] 6 6" xfId="629"/>
    <cellStyle name="Migliaia [0] 6 7" xfId="630"/>
    <cellStyle name="Migliaia [0] 6 8" xfId="631"/>
    <cellStyle name="Migliaia [0] 6 9" xfId="632"/>
    <cellStyle name="Migliaia [0] 7" xfId="633"/>
    <cellStyle name="Migliaia [0] 7 10" xfId="634"/>
    <cellStyle name="Migliaia [0] 7 2" xfId="635"/>
    <cellStyle name="Migliaia [0] 7 2 2" xfId="636"/>
    <cellStyle name="Migliaia [0] 7 2 2 2" xfId="637"/>
    <cellStyle name="Migliaia [0] 7 2 3" xfId="638"/>
    <cellStyle name="Migliaia [0] 7 2 4" xfId="639"/>
    <cellStyle name="Migliaia [0] 7 2 4 2" xfId="640"/>
    <cellStyle name="Migliaia [0] 7 2 5" xfId="641"/>
    <cellStyle name="Migliaia [0] 7 2 6" xfId="642"/>
    <cellStyle name="Migliaia [0] 7 2 7" xfId="643"/>
    <cellStyle name="Migliaia [0] 7 2 8" xfId="644"/>
    <cellStyle name="Migliaia [0] 7 3" xfId="645"/>
    <cellStyle name="Migliaia [0] 7 3 2" xfId="646"/>
    <cellStyle name="Migliaia [0] 7 3 3" xfId="647"/>
    <cellStyle name="Migliaia [0] 7 3 4" xfId="648"/>
    <cellStyle name="Migliaia [0] 7 4" xfId="649"/>
    <cellStyle name="Migliaia [0] 7 4 2" xfId="650"/>
    <cellStyle name="Migliaia [0] 7 5" xfId="651"/>
    <cellStyle name="Migliaia [0] 7 6" xfId="652"/>
    <cellStyle name="Migliaia [0] 7 7" xfId="653"/>
    <cellStyle name="Migliaia [0] 7 8" xfId="654"/>
    <cellStyle name="Migliaia [0] 7 9" xfId="655"/>
    <cellStyle name="Migliaia [0] 8" xfId="656"/>
    <cellStyle name="Migliaia [0] 8 2" xfId="657"/>
    <cellStyle name="Migliaia [0] 8 2 2" xfId="658"/>
    <cellStyle name="Migliaia [0] 8 2 3" xfId="659"/>
    <cellStyle name="Migliaia [0] 8 3" xfId="660"/>
    <cellStyle name="Migliaia [0] 8 3 2" xfId="661"/>
    <cellStyle name="Migliaia [0] 8 3 2 2" xfId="662"/>
    <cellStyle name="Migliaia [0] 8 3 3" xfId="663"/>
    <cellStyle name="Migliaia [0] 8 4" xfId="664"/>
    <cellStyle name="Migliaia [0] 8 4 2" xfId="665"/>
    <cellStyle name="Migliaia [0] 8 5" xfId="666"/>
    <cellStyle name="Migliaia [0] 8 6" xfId="667"/>
    <cellStyle name="Migliaia [0] 9" xfId="668"/>
    <cellStyle name="Migliaia [0] 9 2" xfId="669"/>
    <cellStyle name="Migliaia [0] 9 2 2" xfId="670"/>
    <cellStyle name="Migliaia [0] 9 3" xfId="671"/>
    <cellStyle name="Migliaia [0] 9 4" xfId="672"/>
    <cellStyle name="Migliaia 10" xfId="673"/>
    <cellStyle name="Migliaia 10 2" xfId="674"/>
    <cellStyle name="Migliaia 10 2 2" xfId="675"/>
    <cellStyle name="Migliaia 10 2 2 2" xfId="676"/>
    <cellStyle name="Migliaia 10 2 3" xfId="677"/>
    <cellStyle name="Migliaia 10 2 4" xfId="678"/>
    <cellStyle name="Migliaia 10 2 5" xfId="679"/>
    <cellStyle name="Migliaia 10 2 6" xfId="680"/>
    <cellStyle name="Migliaia 10 3" xfId="681"/>
    <cellStyle name="Migliaia 10 3 2" xfId="682"/>
    <cellStyle name="Migliaia 10 3 3" xfId="683"/>
    <cellStyle name="Migliaia 10 4" xfId="684"/>
    <cellStyle name="Migliaia 10 5" xfId="685"/>
    <cellStyle name="Migliaia 10 6" xfId="686"/>
    <cellStyle name="Migliaia 10 7" xfId="687"/>
    <cellStyle name="Migliaia 100" xfId="688"/>
    <cellStyle name="Migliaia 100 2" xfId="689"/>
    <cellStyle name="Migliaia 100 3" xfId="690"/>
    <cellStyle name="Migliaia 101" xfId="691"/>
    <cellStyle name="Migliaia 102" xfId="692"/>
    <cellStyle name="Migliaia 102 2" xfId="693"/>
    <cellStyle name="Migliaia 103" xfId="694"/>
    <cellStyle name="Migliaia 103 2" xfId="695"/>
    <cellStyle name="Migliaia 104" xfId="696"/>
    <cellStyle name="Migliaia 104 2" xfId="697"/>
    <cellStyle name="Migliaia 105" xfId="698"/>
    <cellStyle name="Migliaia 105 2" xfId="699"/>
    <cellStyle name="Migliaia 106" xfId="700"/>
    <cellStyle name="Migliaia 106 2" xfId="701"/>
    <cellStyle name="Migliaia 107" xfId="702"/>
    <cellStyle name="Migliaia 107 2" xfId="703"/>
    <cellStyle name="Migliaia 108" xfId="704"/>
    <cellStyle name="Migliaia 108 2" xfId="705"/>
    <cellStyle name="Migliaia 109" xfId="706"/>
    <cellStyle name="Migliaia 109 2" xfId="707"/>
    <cellStyle name="Migliaia 11" xfId="708"/>
    <cellStyle name="Migliaia 11 2" xfId="709"/>
    <cellStyle name="Migliaia 11 2 2" xfId="710"/>
    <cellStyle name="Migliaia 11 2 2 2" xfId="711"/>
    <cellStyle name="Migliaia 11 2 3" xfId="712"/>
    <cellStyle name="Migliaia 11 2 4" xfId="713"/>
    <cellStyle name="Migliaia 11 2 5" xfId="714"/>
    <cellStyle name="Migliaia 11 2 6" xfId="715"/>
    <cellStyle name="Migliaia 11 3" xfId="716"/>
    <cellStyle name="Migliaia 11 3 2" xfId="717"/>
    <cellStyle name="Migliaia 11 3 3" xfId="718"/>
    <cellStyle name="Migliaia 11 4" xfId="719"/>
    <cellStyle name="Migliaia 11 5" xfId="720"/>
    <cellStyle name="Migliaia 11 6" xfId="721"/>
    <cellStyle name="Migliaia 11 7" xfId="722"/>
    <cellStyle name="Migliaia 110" xfId="723"/>
    <cellStyle name="Migliaia 110 2" xfId="724"/>
    <cellStyle name="Migliaia 111" xfId="725"/>
    <cellStyle name="Migliaia 111 2" xfId="726"/>
    <cellStyle name="Migliaia 112" xfId="727"/>
    <cellStyle name="Migliaia 112 2" xfId="728"/>
    <cellStyle name="Migliaia 113" xfId="729"/>
    <cellStyle name="Migliaia 113 2" xfId="730"/>
    <cellStyle name="Migliaia 114" xfId="731"/>
    <cellStyle name="Migliaia 114 2" xfId="732"/>
    <cellStyle name="Migliaia 115" xfId="733"/>
    <cellStyle name="Migliaia 115 2" xfId="734"/>
    <cellStyle name="Migliaia 116" xfId="735"/>
    <cellStyle name="Migliaia 116 2" xfId="736"/>
    <cellStyle name="Migliaia 117" xfId="737"/>
    <cellStyle name="Migliaia 117 2" xfId="738"/>
    <cellStyle name="Migliaia 118" xfId="739"/>
    <cellStyle name="Migliaia 118 2" xfId="740"/>
    <cellStyle name="Migliaia 119" xfId="741"/>
    <cellStyle name="Migliaia 119 2" xfId="742"/>
    <cellStyle name="Migliaia 12" xfId="743"/>
    <cellStyle name="Migliaia 12 2" xfId="744"/>
    <cellStyle name="Migliaia 12 2 2" xfId="745"/>
    <cellStyle name="Migliaia 12 2 2 2" xfId="746"/>
    <cellStyle name="Migliaia 12 2 3" xfId="747"/>
    <cellStyle name="Migliaia 12 2 4" xfId="748"/>
    <cellStyle name="Migliaia 12 2 5" xfId="749"/>
    <cellStyle name="Migliaia 12 2 6" xfId="750"/>
    <cellStyle name="Migliaia 12 3" xfId="751"/>
    <cellStyle name="Migliaia 12 3 2" xfId="752"/>
    <cellStyle name="Migliaia 12 3 3" xfId="753"/>
    <cellStyle name="Migliaia 12 4" xfId="754"/>
    <cellStyle name="Migliaia 12 5" xfId="755"/>
    <cellStyle name="Migliaia 12 6" xfId="756"/>
    <cellStyle name="Migliaia 12 7" xfId="757"/>
    <cellStyle name="Migliaia 120" xfId="758"/>
    <cellStyle name="Migliaia 121" xfId="759"/>
    <cellStyle name="Migliaia 122" xfId="760"/>
    <cellStyle name="Migliaia 123" xfId="761"/>
    <cellStyle name="Migliaia 124" xfId="762"/>
    <cellStyle name="Migliaia 125" xfId="763"/>
    <cellStyle name="Migliaia 126" xfId="764"/>
    <cellStyle name="Migliaia 127" xfId="765"/>
    <cellStyle name="Migliaia 128" xfId="766"/>
    <cellStyle name="Migliaia 129" xfId="767"/>
    <cellStyle name="Migliaia 13" xfId="768"/>
    <cellStyle name="Migliaia 13 2" xfId="769"/>
    <cellStyle name="Migliaia 13 2 2" xfId="770"/>
    <cellStyle name="Migliaia 13 2 2 2" xfId="771"/>
    <cellStyle name="Migliaia 13 2 3" xfId="772"/>
    <cellStyle name="Migliaia 13 2 4" xfId="773"/>
    <cellStyle name="Migliaia 13 2 5" xfId="774"/>
    <cellStyle name="Migliaia 13 2 6" xfId="775"/>
    <cellStyle name="Migliaia 13 3" xfId="776"/>
    <cellStyle name="Migliaia 13 3 2" xfId="777"/>
    <cellStyle name="Migliaia 13 3 3" xfId="778"/>
    <cellStyle name="Migliaia 13 4" xfId="779"/>
    <cellStyle name="Migliaia 13 5" xfId="780"/>
    <cellStyle name="Migliaia 13 6" xfId="781"/>
    <cellStyle name="Migliaia 13 7" xfId="782"/>
    <cellStyle name="Migliaia 130" xfId="783"/>
    <cellStyle name="Migliaia 131" xfId="784"/>
    <cellStyle name="Migliaia 132" xfId="785"/>
    <cellStyle name="Migliaia 14" xfId="786"/>
    <cellStyle name="Migliaia 14 2" xfId="787"/>
    <cellStyle name="Migliaia 14 2 2" xfId="788"/>
    <cellStyle name="Migliaia 14 2 2 2" xfId="789"/>
    <cellStyle name="Migliaia 14 2 3" xfId="790"/>
    <cellStyle name="Migliaia 14 2 3 2" xfId="791"/>
    <cellStyle name="Migliaia 14 2 4" xfId="792"/>
    <cellStyle name="Migliaia 14 3" xfId="793"/>
    <cellStyle name="Migliaia 14 4" xfId="794"/>
    <cellStyle name="Migliaia 14 5" xfId="795"/>
    <cellStyle name="Migliaia 14 6" xfId="796"/>
    <cellStyle name="Migliaia 14 7" xfId="797"/>
    <cellStyle name="Migliaia 15" xfId="798"/>
    <cellStyle name="Migliaia 15 2" xfId="799"/>
    <cellStyle name="Migliaia 15 2 2" xfId="800"/>
    <cellStyle name="Migliaia 15 2 2 2" xfId="801"/>
    <cellStyle name="Migliaia 15 3" xfId="802"/>
    <cellStyle name="Migliaia 15 4" xfId="803"/>
    <cellStyle name="Migliaia 15 5" xfId="804"/>
    <cellStyle name="Migliaia 15 6" xfId="805"/>
    <cellStyle name="Migliaia 15 7" xfId="806"/>
    <cellStyle name="Migliaia 16" xfId="807"/>
    <cellStyle name="Migliaia 16 2" xfId="808"/>
    <cellStyle name="Migliaia 16 2 2" xfId="809"/>
    <cellStyle name="Migliaia 16 2 2 2" xfId="810"/>
    <cellStyle name="Migliaia 16 3" xfId="811"/>
    <cellStyle name="Migliaia 16 4" xfId="812"/>
    <cellStyle name="Migliaia 16 5" xfId="813"/>
    <cellStyle name="Migliaia 16 6" xfId="814"/>
    <cellStyle name="Migliaia 16 7" xfId="815"/>
    <cellStyle name="Migliaia 17" xfId="816"/>
    <cellStyle name="Migliaia 17 2" xfId="817"/>
    <cellStyle name="Migliaia 17 2 2" xfId="818"/>
    <cellStyle name="Migliaia 17 2 2 2" xfId="819"/>
    <cellStyle name="Migliaia 17 3" xfId="820"/>
    <cellStyle name="Migliaia 17 4" xfId="821"/>
    <cellStyle name="Migliaia 17 5" xfId="822"/>
    <cellStyle name="Migliaia 17 6" xfId="823"/>
    <cellStyle name="Migliaia 17 7" xfId="824"/>
    <cellStyle name="Migliaia 18" xfId="825"/>
    <cellStyle name="Migliaia 18 2" xfId="826"/>
    <cellStyle name="Migliaia 18 3" xfId="827"/>
    <cellStyle name="Migliaia 18 3 2" xfId="828"/>
    <cellStyle name="Migliaia 18 4" xfId="829"/>
    <cellStyle name="Migliaia 18 5" xfId="830"/>
    <cellStyle name="Migliaia 18 6" xfId="831"/>
    <cellStyle name="Migliaia 18 7" xfId="832"/>
    <cellStyle name="Migliaia 18 8" xfId="833"/>
    <cellStyle name="Migliaia 19" xfId="834"/>
    <cellStyle name="Migliaia 19 2" xfId="835"/>
    <cellStyle name="Migliaia 19 3" xfId="836"/>
    <cellStyle name="Migliaia 19 3 2" xfId="837"/>
    <cellStyle name="Migliaia 19 4" xfId="838"/>
    <cellStyle name="Migliaia 19 5" xfId="839"/>
    <cellStyle name="Migliaia 19 6" xfId="840"/>
    <cellStyle name="Migliaia 19 7" xfId="841"/>
    <cellStyle name="Migliaia 19 8" xfId="842"/>
    <cellStyle name="Migliaia 2" xfId="843"/>
    <cellStyle name="Migliaia 2 10" xfId="844"/>
    <cellStyle name="Migliaia 2 10 2" xfId="845"/>
    <cellStyle name="Migliaia 2 11" xfId="846"/>
    <cellStyle name="Migliaia 2 2" xfId="847"/>
    <cellStyle name="Migliaia 2 2 2" xfId="848"/>
    <cellStyle name="Migliaia 2 2 2 2" xfId="849"/>
    <cellStyle name="Migliaia 2 2 2 2 2" xfId="850"/>
    <cellStyle name="Migliaia 2 2 2 2 2 2" xfId="851"/>
    <cellStyle name="Migliaia 2 2 2 2 3" xfId="852"/>
    <cellStyle name="Migliaia 2 2 2 2 3 2" xfId="853"/>
    <cellStyle name="Migliaia 2 2 2 2 4" xfId="854"/>
    <cellStyle name="Migliaia 2 2 2 3" xfId="855"/>
    <cellStyle name="Migliaia 2 2 2 3 2" xfId="856"/>
    <cellStyle name="Migliaia 2 2 2 4" xfId="857"/>
    <cellStyle name="Migliaia 2 2 2 5" xfId="858"/>
    <cellStyle name="Migliaia 2 2 3" xfId="859"/>
    <cellStyle name="Migliaia 2 2 3 2" xfId="860"/>
    <cellStyle name="Migliaia 2 2 3 2 2" xfId="861"/>
    <cellStyle name="Migliaia 2 2 3 2 2 2" xfId="862"/>
    <cellStyle name="Migliaia 2 2 3 2 3" xfId="863"/>
    <cellStyle name="Migliaia 2 2 3 3" xfId="864"/>
    <cellStyle name="Migliaia 2 2 3 3 2" xfId="865"/>
    <cellStyle name="Migliaia 2 2 3 4" xfId="866"/>
    <cellStyle name="Migliaia 2 2 4" xfId="867"/>
    <cellStyle name="Migliaia 2 2 4 2" xfId="868"/>
    <cellStyle name="Migliaia 2 2 4 2 2" xfId="869"/>
    <cellStyle name="Migliaia 2 2 4 3" xfId="870"/>
    <cellStyle name="Migliaia 2 2 4 3 2" xfId="871"/>
    <cellStyle name="Migliaia 2 2 4 4" xfId="872"/>
    <cellStyle name="Migliaia 2 2 4 4 2" xfId="873"/>
    <cellStyle name="Migliaia 2 2 4 5" xfId="874"/>
    <cellStyle name="Migliaia 2 2 5" xfId="875"/>
    <cellStyle name="Migliaia 2 2 6" xfId="876"/>
    <cellStyle name="Migliaia 2 2 6 2" xfId="877"/>
    <cellStyle name="Migliaia 2 2 7" xfId="878"/>
    <cellStyle name="Migliaia 2 2 7 2" xfId="879"/>
    <cellStyle name="Migliaia 2 2 8" xfId="880"/>
    <cellStyle name="Migliaia 2 2 8 2" xfId="881"/>
    <cellStyle name="Migliaia 2 2 9" xfId="882"/>
    <cellStyle name="Migliaia 2 3" xfId="883"/>
    <cellStyle name="Migliaia 2 3 2" xfId="884"/>
    <cellStyle name="Migliaia 2 3 2 2" xfId="885"/>
    <cellStyle name="Migliaia 2 3 2 2 2" xfId="886"/>
    <cellStyle name="Migliaia 2 3 2 3" xfId="887"/>
    <cellStyle name="Migliaia 2 3 2 3 2" xfId="888"/>
    <cellStyle name="Migliaia 2 3 2 4" xfId="889"/>
    <cellStyle name="Migliaia 2 3 2 5" xfId="890"/>
    <cellStyle name="Migliaia 2 3 3" xfId="891"/>
    <cellStyle name="Migliaia 2 3 3 2" xfId="892"/>
    <cellStyle name="Migliaia 2 3 3 3" xfId="893"/>
    <cellStyle name="Migliaia 2 3 3 3 2" xfId="894"/>
    <cellStyle name="Migliaia 2 3 4" xfId="895"/>
    <cellStyle name="Migliaia 2 3 4 2" xfId="896"/>
    <cellStyle name="Migliaia 2 3 5" xfId="897"/>
    <cellStyle name="Migliaia 2 3 5 2" xfId="898"/>
    <cellStyle name="Migliaia 2 3 6" xfId="899"/>
    <cellStyle name="Migliaia 2 3 7" xfId="900"/>
    <cellStyle name="Migliaia 2 3 8" xfId="901"/>
    <cellStyle name="Migliaia 2 4" xfId="902"/>
    <cellStyle name="Migliaia 2 4 2" xfId="903"/>
    <cellStyle name="Migliaia 2 4 2 2" xfId="904"/>
    <cellStyle name="Migliaia 2 4 2 2 2" xfId="905"/>
    <cellStyle name="Migliaia 2 4 2 2 2 2" xfId="906"/>
    <cellStyle name="Migliaia 2 4 2 2 3" xfId="907"/>
    <cellStyle name="Migliaia 2 4 2 3" xfId="908"/>
    <cellStyle name="Migliaia 2 4 2 3 2" xfId="909"/>
    <cellStyle name="Migliaia 2 4 2 4" xfId="910"/>
    <cellStyle name="Migliaia 2 4 3" xfId="911"/>
    <cellStyle name="Migliaia 2 4 3 2" xfId="912"/>
    <cellStyle name="Migliaia 2 4 3 2 2" xfId="913"/>
    <cellStyle name="Migliaia 2 4 3 3" xfId="914"/>
    <cellStyle name="Migliaia 2 4 4" xfId="915"/>
    <cellStyle name="Migliaia 2 4 5" xfId="916"/>
    <cellStyle name="Migliaia 2 4 5 2" xfId="917"/>
    <cellStyle name="Migliaia 2 4 6" xfId="918"/>
    <cellStyle name="Migliaia 2 5" xfId="919"/>
    <cellStyle name="Migliaia 2 5 2" xfId="920"/>
    <cellStyle name="Migliaia 2 5 3" xfId="921"/>
    <cellStyle name="Migliaia 2 5 3 2" xfId="922"/>
    <cellStyle name="Migliaia 2 6" xfId="923"/>
    <cellStyle name="Migliaia 2 6 2" xfId="924"/>
    <cellStyle name="Migliaia 2 6 2 2" xfId="925"/>
    <cellStyle name="Migliaia 2 6 2 2 2" xfId="926"/>
    <cellStyle name="Migliaia 2 6 2 3" xfId="927"/>
    <cellStyle name="Migliaia 2 6 3" xfId="928"/>
    <cellStyle name="Migliaia 2 6 3 2" xfId="929"/>
    <cellStyle name="Migliaia 2 6 4" xfId="930"/>
    <cellStyle name="Migliaia 2 7" xfId="931"/>
    <cellStyle name="Migliaia 2 7 2" xfId="932"/>
    <cellStyle name="Migliaia 2 7 2 2" xfId="933"/>
    <cellStyle name="Migliaia 2 7 3" xfId="934"/>
    <cellStyle name="Migliaia 2 8" xfId="935"/>
    <cellStyle name="Migliaia 2 9" xfId="936"/>
    <cellStyle name="Migliaia 2 9 2" xfId="937"/>
    <cellStyle name="Migliaia 20" xfId="938"/>
    <cellStyle name="Migliaia 20 2" xfId="939"/>
    <cellStyle name="Migliaia 20 3" xfId="940"/>
    <cellStyle name="Migliaia 20 3 2" xfId="941"/>
    <cellStyle name="Migliaia 20 4" xfId="942"/>
    <cellStyle name="Migliaia 20 5" xfId="943"/>
    <cellStyle name="Migliaia 20 6" xfId="944"/>
    <cellStyle name="Migliaia 20 7" xfId="945"/>
    <cellStyle name="Migliaia 20 8" xfId="946"/>
    <cellStyle name="Migliaia 21" xfId="947"/>
    <cellStyle name="Migliaia 21 2" xfId="948"/>
    <cellStyle name="Migliaia 21 3" xfId="949"/>
    <cellStyle name="Migliaia 21 3 2" xfId="950"/>
    <cellStyle name="Migliaia 21 4" xfId="951"/>
    <cellStyle name="Migliaia 21 5" xfId="952"/>
    <cellStyle name="Migliaia 21 6" xfId="953"/>
    <cellStyle name="Migliaia 21 7" xfId="954"/>
    <cellStyle name="Migliaia 21 8" xfId="955"/>
    <cellStyle name="Migliaia 22" xfId="956"/>
    <cellStyle name="Migliaia 22 2" xfId="957"/>
    <cellStyle name="Migliaia 22 3" xfId="958"/>
    <cellStyle name="Migliaia 22 3 2" xfId="959"/>
    <cellStyle name="Migliaia 22 4" xfId="960"/>
    <cellStyle name="Migliaia 22 5" xfId="961"/>
    <cellStyle name="Migliaia 22 6" xfId="962"/>
    <cellStyle name="Migliaia 22 7" xfId="963"/>
    <cellStyle name="Migliaia 22 8" xfId="964"/>
    <cellStyle name="Migliaia 23" xfId="965"/>
    <cellStyle name="Migliaia 23 2" xfId="966"/>
    <cellStyle name="Migliaia 23 3" xfId="967"/>
    <cellStyle name="Migliaia 23 3 2" xfId="968"/>
    <cellStyle name="Migliaia 23 4" xfId="969"/>
    <cellStyle name="Migliaia 23 5" xfId="970"/>
    <cellStyle name="Migliaia 23 6" xfId="971"/>
    <cellStyle name="Migliaia 23 7" xfId="972"/>
    <cellStyle name="Migliaia 23 8" xfId="973"/>
    <cellStyle name="Migliaia 24" xfId="974"/>
    <cellStyle name="Migliaia 24 2" xfId="975"/>
    <cellStyle name="Migliaia 24 3" xfId="976"/>
    <cellStyle name="Migliaia 24 3 2" xfId="977"/>
    <cellStyle name="Migliaia 24 4" xfId="978"/>
    <cellStyle name="Migliaia 24 5" xfId="979"/>
    <cellStyle name="Migliaia 24 6" xfId="980"/>
    <cellStyle name="Migliaia 24 7" xfId="981"/>
    <cellStyle name="Migliaia 24 8" xfId="982"/>
    <cellStyle name="Migliaia 25" xfId="983"/>
    <cellStyle name="Migliaia 25 2" xfId="984"/>
    <cellStyle name="Migliaia 25 3" xfId="985"/>
    <cellStyle name="Migliaia 25 3 2" xfId="986"/>
    <cellStyle name="Migliaia 25 4" xfId="987"/>
    <cellStyle name="Migliaia 25 5" xfId="988"/>
    <cellStyle name="Migliaia 25 6" xfId="989"/>
    <cellStyle name="Migliaia 25 7" xfId="990"/>
    <cellStyle name="Migliaia 25 8" xfId="991"/>
    <cellStyle name="Migliaia 26" xfId="992"/>
    <cellStyle name="Migliaia 26 2" xfId="993"/>
    <cellStyle name="Migliaia 26 3" xfId="994"/>
    <cellStyle name="Migliaia 26 3 2" xfId="995"/>
    <cellStyle name="Migliaia 26 4" xfId="996"/>
    <cellStyle name="Migliaia 26 5" xfId="997"/>
    <cellStyle name="Migliaia 26 6" xfId="998"/>
    <cellStyle name="Migliaia 26 7" xfId="999"/>
    <cellStyle name="Migliaia 26 8" xfId="1000"/>
    <cellStyle name="Migliaia 27" xfId="1001"/>
    <cellStyle name="Migliaia 27 2" xfId="1002"/>
    <cellStyle name="Migliaia 27 3" xfId="1003"/>
    <cellStyle name="Migliaia 27 3 2" xfId="1004"/>
    <cellStyle name="Migliaia 27 4" xfId="1005"/>
    <cellStyle name="Migliaia 27 5" xfId="1006"/>
    <cellStyle name="Migliaia 27 6" xfId="1007"/>
    <cellStyle name="Migliaia 27 7" xfId="1008"/>
    <cellStyle name="Migliaia 27 8" xfId="1009"/>
    <cellStyle name="Migliaia 28" xfId="1010"/>
    <cellStyle name="Migliaia 28 2" xfId="1011"/>
    <cellStyle name="Migliaia 28 3" xfId="1012"/>
    <cellStyle name="Migliaia 28 3 2" xfId="1013"/>
    <cellStyle name="Migliaia 28 4" xfId="1014"/>
    <cellStyle name="Migliaia 28 5" xfId="1015"/>
    <cellStyle name="Migliaia 28 6" xfId="1016"/>
    <cellStyle name="Migliaia 28 7" xfId="1017"/>
    <cellStyle name="Migliaia 28 8" xfId="1018"/>
    <cellStyle name="Migliaia 29" xfId="1019"/>
    <cellStyle name="Migliaia 29 2" xfId="1020"/>
    <cellStyle name="Migliaia 29 3" xfId="1021"/>
    <cellStyle name="Migliaia 29 3 2" xfId="1022"/>
    <cellStyle name="Migliaia 29 4" xfId="1023"/>
    <cellStyle name="Migliaia 29 5" xfId="1024"/>
    <cellStyle name="Migliaia 29 6" xfId="1025"/>
    <cellStyle name="Migliaia 3" xfId="1026"/>
    <cellStyle name="Migliaia 3 10" xfId="1027"/>
    <cellStyle name="Migliaia 3 11" xfId="1028"/>
    <cellStyle name="Migliaia 3 2" xfId="1029"/>
    <cellStyle name="Migliaia 3 2 2" xfId="1030"/>
    <cellStyle name="Migliaia 3 2 2 2" xfId="1031"/>
    <cellStyle name="Migliaia 3 2 2 2 2" xfId="1032"/>
    <cellStyle name="Migliaia 3 2 2 2 2 2" xfId="1033"/>
    <cellStyle name="Migliaia 3 2 2 2 3" xfId="1034"/>
    <cellStyle name="Migliaia 3 2 2 2 4" xfId="1035"/>
    <cellStyle name="Migliaia 3 2 2 3" xfId="1036"/>
    <cellStyle name="Migliaia 3 2 2 4" xfId="1037"/>
    <cellStyle name="Migliaia 3 2 2 4 2" xfId="1038"/>
    <cellStyle name="Migliaia 3 2 2 5" xfId="1039"/>
    <cellStyle name="Migliaia 3 2 2 6" xfId="1040"/>
    <cellStyle name="Migliaia 3 2 3" xfId="1041"/>
    <cellStyle name="Migliaia 3 2 3 2" xfId="1042"/>
    <cellStyle name="Migliaia 3 2 3 3" xfId="1043"/>
    <cellStyle name="Migliaia 3 2 3 3 2" xfId="1044"/>
    <cellStyle name="Migliaia 3 2 3 3 2 2" xfId="1045"/>
    <cellStyle name="Migliaia 3 2 3 3 3" xfId="1046"/>
    <cellStyle name="Migliaia 3 2 3 4" xfId="1047"/>
    <cellStyle name="Migliaia 3 2 3 5" xfId="1048"/>
    <cellStyle name="Migliaia 3 2 3 5 2" xfId="1049"/>
    <cellStyle name="Migliaia 3 2 3 6" xfId="1050"/>
    <cellStyle name="Migliaia 3 2 4" xfId="1051"/>
    <cellStyle name="Migliaia 3 2 4 2" xfId="1052"/>
    <cellStyle name="Migliaia 3 2 5" xfId="1053"/>
    <cellStyle name="Migliaia 3 2 5 2" xfId="1054"/>
    <cellStyle name="Migliaia 3 2 5 2 2" xfId="1055"/>
    <cellStyle name="Migliaia 3 2 5 2 2 2" xfId="1056"/>
    <cellStyle name="Migliaia 3 2 5 2 3" xfId="1057"/>
    <cellStyle name="Migliaia 3 2 5 3" xfId="1058"/>
    <cellStyle name="Migliaia 3 2 5 3 2" xfId="1059"/>
    <cellStyle name="Migliaia 3 2 5 4" xfId="1060"/>
    <cellStyle name="Migliaia 3 2 6" xfId="1061"/>
    <cellStyle name="Migliaia 3 2 6 2" xfId="1062"/>
    <cellStyle name="Migliaia 3 2 6 2 2" xfId="1063"/>
    <cellStyle name="Migliaia 3 2 6 3" xfId="1064"/>
    <cellStyle name="Migliaia 3 2 7" xfId="1065"/>
    <cellStyle name="Migliaia 3 2 7 2" xfId="1066"/>
    <cellStyle name="Migliaia 3 2 8" xfId="1067"/>
    <cellStyle name="Migliaia 3 2_RICLASSIFICATO CET 4 TRIM 2013" xfId="1068"/>
    <cellStyle name="Migliaia 3 3" xfId="1069"/>
    <cellStyle name="Migliaia 3 3 2" xfId="1070"/>
    <cellStyle name="Migliaia 3 3 2 2" xfId="1071"/>
    <cellStyle name="Migliaia 3 3 2 2 2" xfId="1072"/>
    <cellStyle name="Migliaia 3 3 2 3" xfId="1073"/>
    <cellStyle name="Migliaia 3 3 2 4" xfId="1074"/>
    <cellStyle name="Migliaia 3 3 3" xfId="1075"/>
    <cellStyle name="Migliaia 3 3 4" xfId="1076"/>
    <cellStyle name="Migliaia 3 3 4 2" xfId="1077"/>
    <cellStyle name="Migliaia 3 3 5" xfId="1078"/>
    <cellStyle name="Migliaia 3 3 6" xfId="1079"/>
    <cellStyle name="Migliaia 3 4" xfId="1080"/>
    <cellStyle name="Migliaia 3 4 2" xfId="1081"/>
    <cellStyle name="Migliaia 3 4 3" xfId="1082"/>
    <cellStyle name="Migliaia 3 4 3 2" xfId="1083"/>
    <cellStyle name="Migliaia 3 4 3 2 2" xfId="1084"/>
    <cellStyle name="Migliaia 3 4 3 3" xfId="1085"/>
    <cellStyle name="Migliaia 3 4 4" xfId="1086"/>
    <cellStyle name="Migliaia 3 4 5" xfId="1087"/>
    <cellStyle name="Migliaia 3 4 5 2" xfId="1088"/>
    <cellStyle name="Migliaia 3 4 6" xfId="1089"/>
    <cellStyle name="Migliaia 3 5" xfId="1090"/>
    <cellStyle name="Migliaia 3 5 2" xfId="1091"/>
    <cellStyle name="Migliaia 3 5 3" xfId="1092"/>
    <cellStyle name="Migliaia 3 5 4" xfId="1093"/>
    <cellStyle name="Migliaia 3 6" xfId="1094"/>
    <cellStyle name="Migliaia 3 6 2" xfId="1095"/>
    <cellStyle name="Migliaia 3 6 2 2" xfId="1096"/>
    <cellStyle name="Migliaia 3 6 2 2 2" xfId="1097"/>
    <cellStyle name="Migliaia 3 6 2 3" xfId="1098"/>
    <cellStyle name="Migliaia 3 6 3" xfId="1099"/>
    <cellStyle name="Migliaia 3 6 3 2" xfId="1100"/>
    <cellStyle name="Migliaia 3 6 4" xfId="1101"/>
    <cellStyle name="Migliaia 3 7" xfId="1102"/>
    <cellStyle name="Migliaia 3 7 2" xfId="1103"/>
    <cellStyle name="Migliaia 3 7 2 2" xfId="1104"/>
    <cellStyle name="Migliaia 3 7 3" xfId="1105"/>
    <cellStyle name="Migliaia 3 8" xfId="1106"/>
    <cellStyle name="Migliaia 3 9" xfId="1107"/>
    <cellStyle name="Migliaia 3 9 2" xfId="1108"/>
    <cellStyle name="Migliaia 30" xfId="1109"/>
    <cellStyle name="Migliaia 30 2" xfId="1110"/>
    <cellStyle name="Migliaia 30 3" xfId="1111"/>
    <cellStyle name="Migliaia 30 3 2" xfId="1112"/>
    <cellStyle name="Migliaia 30 4" xfId="1113"/>
    <cellStyle name="Migliaia 30 5" xfId="1114"/>
    <cellStyle name="Migliaia 30 6" xfId="1115"/>
    <cellStyle name="Migliaia 31" xfId="1116"/>
    <cellStyle name="Migliaia 31 2" xfId="1117"/>
    <cellStyle name="Migliaia 31 3" xfId="1118"/>
    <cellStyle name="Migliaia 31 3 2" xfId="1119"/>
    <cellStyle name="Migliaia 31 4" xfId="1120"/>
    <cellStyle name="Migliaia 31 5" xfId="1121"/>
    <cellStyle name="Migliaia 32" xfId="1122"/>
    <cellStyle name="Migliaia 32 2" xfId="1123"/>
    <cellStyle name="Migliaia 32 3" xfId="1124"/>
    <cellStyle name="Migliaia 32 3 2" xfId="1125"/>
    <cellStyle name="Migliaia 32 4" xfId="1126"/>
    <cellStyle name="Migliaia 32 5" xfId="1127"/>
    <cellStyle name="Migliaia 33" xfId="1128"/>
    <cellStyle name="Migliaia 33 2" xfId="1129"/>
    <cellStyle name="Migliaia 33 3" xfId="1130"/>
    <cellStyle name="Migliaia 33 3 2" xfId="1131"/>
    <cellStyle name="Migliaia 33 4" xfId="1132"/>
    <cellStyle name="Migliaia 33 5" xfId="1133"/>
    <cellStyle name="Migliaia 34" xfId="1134"/>
    <cellStyle name="Migliaia 34 2" xfId="1135"/>
    <cellStyle name="Migliaia 34 3" xfId="1136"/>
    <cellStyle name="Migliaia 34 3 2" xfId="1137"/>
    <cellStyle name="Migliaia 34 4" xfId="1138"/>
    <cellStyle name="Migliaia 34 5" xfId="1139"/>
    <cellStyle name="Migliaia 35" xfId="1140"/>
    <cellStyle name="Migliaia 35 2" xfId="1141"/>
    <cellStyle name="Migliaia 35 3" xfId="1142"/>
    <cellStyle name="Migliaia 35 3 2" xfId="1143"/>
    <cellStyle name="Migliaia 35 4" xfId="1144"/>
    <cellStyle name="Migliaia 35 5" xfId="1145"/>
    <cellStyle name="Migliaia 36" xfId="1146"/>
    <cellStyle name="Migliaia 36 2" xfId="1147"/>
    <cellStyle name="Migliaia 36 3" xfId="1148"/>
    <cellStyle name="Migliaia 36 3 2" xfId="1149"/>
    <cellStyle name="Migliaia 36 4" xfId="1150"/>
    <cellStyle name="Migliaia 36 5" xfId="1151"/>
    <cellStyle name="Migliaia 37" xfId="1152"/>
    <cellStyle name="Migliaia 37 2" xfId="1153"/>
    <cellStyle name="Migliaia 37 3" xfId="1154"/>
    <cellStyle name="Migliaia 37 3 2" xfId="1155"/>
    <cellStyle name="Migliaia 37 4" xfId="1156"/>
    <cellStyle name="Migliaia 37 5" xfId="1157"/>
    <cellStyle name="Migliaia 38" xfId="1158"/>
    <cellStyle name="Migliaia 38 2" xfId="1159"/>
    <cellStyle name="Migliaia 38 3" xfId="1160"/>
    <cellStyle name="Migliaia 38 3 2" xfId="1161"/>
    <cellStyle name="Migliaia 38 4" xfId="1162"/>
    <cellStyle name="Migliaia 38 5" xfId="1163"/>
    <cellStyle name="Migliaia 39" xfId="1164"/>
    <cellStyle name="Migliaia 39 2" xfId="1165"/>
    <cellStyle name="Migliaia 39 3" xfId="1166"/>
    <cellStyle name="Migliaia 39 3 2" xfId="1167"/>
    <cellStyle name="Migliaia 39 4" xfId="1168"/>
    <cellStyle name="Migliaia 39 5" xfId="1169"/>
    <cellStyle name="Migliaia 4" xfId="1170"/>
    <cellStyle name="Migliaia 4 2" xfId="1171"/>
    <cellStyle name="Migliaia 4 2 2" xfId="1172"/>
    <cellStyle name="Migliaia 4 2 2 2" xfId="1173"/>
    <cellStyle name="Migliaia 4 2 2 2 2" xfId="1174"/>
    <cellStyle name="Migliaia 4 2 2 3" xfId="1175"/>
    <cellStyle name="Migliaia 4 2 2 4" xfId="1176"/>
    <cellStyle name="Migliaia 4 2 3" xfId="1177"/>
    <cellStyle name="Migliaia 4 2 3 2" xfId="1178"/>
    <cellStyle name="Migliaia 4 2 3 3" xfId="1179"/>
    <cellStyle name="Migliaia 4 2 4" xfId="1180"/>
    <cellStyle name="Migliaia 4 2 4 2" xfId="1181"/>
    <cellStyle name="Migliaia 4 2 5" xfId="1182"/>
    <cellStyle name="Migliaia 4 3" xfId="1183"/>
    <cellStyle name="Migliaia 4 3 2" xfId="1184"/>
    <cellStyle name="Migliaia 4 3 2 2" xfId="1185"/>
    <cellStyle name="Migliaia 4 3 2 3" xfId="1186"/>
    <cellStyle name="Migliaia 4 3 2 3 2" xfId="1187"/>
    <cellStyle name="Migliaia 4 3 3" xfId="1188"/>
    <cellStyle name="Migliaia 4 3 3 2" xfId="1189"/>
    <cellStyle name="Migliaia 4 3 3 2 2" xfId="1190"/>
    <cellStyle name="Migliaia 4 3 3 3" xfId="1191"/>
    <cellStyle name="Migliaia 4 3 4" xfId="1192"/>
    <cellStyle name="Migliaia 4 3 5" xfId="1193"/>
    <cellStyle name="Migliaia 4 3 5 2" xfId="1194"/>
    <cellStyle name="Migliaia 4 3 6" xfId="1195"/>
    <cellStyle name="Migliaia 4 3 7" xfId="1196"/>
    <cellStyle name="Migliaia 4 4" xfId="1197"/>
    <cellStyle name="Migliaia 4 4 2" xfId="1198"/>
    <cellStyle name="Migliaia 4 4 3" xfId="1199"/>
    <cellStyle name="Migliaia 4 4 3 2" xfId="1200"/>
    <cellStyle name="Migliaia 4 4 4" xfId="1201"/>
    <cellStyle name="Migliaia 4 5" xfId="1202"/>
    <cellStyle name="Migliaia 4 5 2" xfId="1203"/>
    <cellStyle name="Migliaia 4 5 2 2" xfId="1204"/>
    <cellStyle name="Migliaia 4 5 3" xfId="1205"/>
    <cellStyle name="Migliaia 4 5 3 2" xfId="1206"/>
    <cellStyle name="Migliaia 4 5 4" xfId="1207"/>
    <cellStyle name="Migliaia 4 5 5" xfId="1208"/>
    <cellStyle name="Migliaia 4 6" xfId="1209"/>
    <cellStyle name="Migliaia 4 6 2" xfId="1210"/>
    <cellStyle name="Migliaia 4 7" xfId="1211"/>
    <cellStyle name="Migliaia 40" xfId="1212"/>
    <cellStyle name="Migliaia 40 2" xfId="1213"/>
    <cellStyle name="Migliaia 40 3" xfId="1214"/>
    <cellStyle name="Migliaia 40 3 2" xfId="1215"/>
    <cellStyle name="Migliaia 40 4" xfId="1216"/>
    <cellStyle name="Migliaia 40 5" xfId="1217"/>
    <cellStyle name="Migliaia 41" xfId="1218"/>
    <cellStyle name="Migliaia 41 2" xfId="1219"/>
    <cellStyle name="Migliaia 41 3" xfId="1220"/>
    <cellStyle name="Migliaia 41 3 2" xfId="1221"/>
    <cellStyle name="Migliaia 41 4" xfId="1222"/>
    <cellStyle name="Migliaia 41 5" xfId="1223"/>
    <cellStyle name="Migliaia 42" xfId="1224"/>
    <cellStyle name="Migliaia 42 2" xfId="1225"/>
    <cellStyle name="Migliaia 42 3" xfId="1226"/>
    <cellStyle name="Migliaia 42 3 2" xfId="1227"/>
    <cellStyle name="Migliaia 42 4" xfId="1228"/>
    <cellStyle name="Migliaia 42 5" xfId="1229"/>
    <cellStyle name="Migliaia 43" xfId="1230"/>
    <cellStyle name="Migliaia 43 2" xfId="1231"/>
    <cellStyle name="Migliaia 43 3" xfId="1232"/>
    <cellStyle name="Migliaia 43 3 2" xfId="1233"/>
    <cellStyle name="Migliaia 43 4" xfId="1234"/>
    <cellStyle name="Migliaia 43 5" xfId="1235"/>
    <cellStyle name="Migliaia 44" xfId="1236"/>
    <cellStyle name="Migliaia 44 2" xfId="1237"/>
    <cellStyle name="Migliaia 44 3" xfId="1238"/>
    <cellStyle name="Migliaia 44 3 2" xfId="1239"/>
    <cellStyle name="Migliaia 44 4" xfId="1240"/>
    <cellStyle name="Migliaia 44 5" xfId="1241"/>
    <cellStyle name="Migliaia 45" xfId="1242"/>
    <cellStyle name="Migliaia 45 2" xfId="1243"/>
    <cellStyle name="Migliaia 45 3" xfId="1244"/>
    <cellStyle name="Migliaia 45 3 2" xfId="1245"/>
    <cellStyle name="Migliaia 45 4" xfId="1246"/>
    <cellStyle name="Migliaia 45 5" xfId="1247"/>
    <cellStyle name="Migliaia 46" xfId="1248"/>
    <cellStyle name="Migliaia 46 2" xfId="1249"/>
    <cellStyle name="Migliaia 46 3" xfId="1250"/>
    <cellStyle name="Migliaia 46 3 2" xfId="1251"/>
    <cellStyle name="Migliaia 46 4" xfId="1252"/>
    <cellStyle name="Migliaia 46 5" xfId="1253"/>
    <cellStyle name="Migliaia 47" xfId="1254"/>
    <cellStyle name="Migliaia 47 2" xfId="1255"/>
    <cellStyle name="Migliaia 47 3" xfId="1256"/>
    <cellStyle name="Migliaia 47 3 2" xfId="1257"/>
    <cellStyle name="Migliaia 47 4" xfId="1258"/>
    <cellStyle name="Migliaia 47 5" xfId="1259"/>
    <cellStyle name="Migliaia 48" xfId="1260"/>
    <cellStyle name="Migliaia 48 2" xfId="1261"/>
    <cellStyle name="Migliaia 48 3" xfId="1262"/>
    <cellStyle name="Migliaia 48 3 2" xfId="1263"/>
    <cellStyle name="Migliaia 48 4" xfId="1264"/>
    <cellStyle name="Migliaia 48 5" xfId="1265"/>
    <cellStyle name="Migliaia 49" xfId="1266"/>
    <cellStyle name="Migliaia 49 2" xfId="1267"/>
    <cellStyle name="Migliaia 49 3" xfId="1268"/>
    <cellStyle name="Migliaia 49 3 2" xfId="1269"/>
    <cellStyle name="Migliaia 49 4" xfId="1270"/>
    <cellStyle name="Migliaia 49 5" xfId="1271"/>
    <cellStyle name="Migliaia 5" xfId="1272"/>
    <cellStyle name="Migliaia 5 10" xfId="1273"/>
    <cellStyle name="Migliaia 5 11" xfId="1274"/>
    <cellStyle name="Migliaia 5 12" xfId="1275"/>
    <cellStyle name="Migliaia 5 13" xfId="1276"/>
    <cellStyle name="Migliaia 5 2" xfId="1277"/>
    <cellStyle name="Migliaia 5 2 2" xfId="1278"/>
    <cellStyle name="Migliaia 5 2 3" xfId="1279"/>
    <cellStyle name="Migliaia 5 2 4" xfId="1280"/>
    <cellStyle name="Migliaia 5 2 4 2" xfId="1281"/>
    <cellStyle name="Migliaia 5 2 5" xfId="1282"/>
    <cellStyle name="Migliaia 5 2 6" xfId="1283"/>
    <cellStyle name="Migliaia 5 2 6 2" xfId="1284"/>
    <cellStyle name="Migliaia 5 2 7" xfId="1285"/>
    <cellStyle name="Migliaia 5 2 8" xfId="1286"/>
    <cellStyle name="Migliaia 5 2 9" xfId="1287"/>
    <cellStyle name="Migliaia 5 3" xfId="1288"/>
    <cellStyle name="Migliaia 5 3 2" xfId="1289"/>
    <cellStyle name="Migliaia 5 3 3" xfId="1290"/>
    <cellStyle name="Migliaia 5 3 3 2" xfId="1291"/>
    <cellStyle name="Migliaia 5 3 4" xfId="1292"/>
    <cellStyle name="Migliaia 5 3 5" xfId="1293"/>
    <cellStyle name="Migliaia 5 3 6" xfId="1294"/>
    <cellStyle name="Migliaia 5 4" xfId="1295"/>
    <cellStyle name="Migliaia 5 4 2" xfId="1296"/>
    <cellStyle name="Migliaia 5 4 3" xfId="1297"/>
    <cellStyle name="Migliaia 5 4 4" xfId="1298"/>
    <cellStyle name="Migliaia 5 5" xfId="1299"/>
    <cellStyle name="Migliaia 5 5 2" xfId="1300"/>
    <cellStyle name="Migliaia 5 5 2 2" xfId="1301"/>
    <cellStyle name="Migliaia 5 5 3" xfId="1302"/>
    <cellStyle name="Migliaia 5 5 4" xfId="1303"/>
    <cellStyle name="Migliaia 5 5 5" xfId="1304"/>
    <cellStyle name="Migliaia 5 5 6" xfId="1305"/>
    <cellStyle name="Migliaia 5 5 7" xfId="1306"/>
    <cellStyle name="Migliaia 5 6" xfId="1307"/>
    <cellStyle name="Migliaia 5 6 2" xfId="1308"/>
    <cellStyle name="Migliaia 5 6 3" xfId="1309"/>
    <cellStyle name="Migliaia 5 6 4" xfId="1310"/>
    <cellStyle name="Migliaia 5 6 5" xfId="1311"/>
    <cellStyle name="Migliaia 5 7" xfId="1312"/>
    <cellStyle name="Migliaia 5 7 2" xfId="1313"/>
    <cellStyle name="Migliaia 5 7 3" xfId="1314"/>
    <cellStyle name="Migliaia 5 8" xfId="1315"/>
    <cellStyle name="Migliaia 5 9" xfId="1316"/>
    <cellStyle name="Migliaia 50" xfId="1317"/>
    <cellStyle name="Migliaia 50 2" xfId="1318"/>
    <cellStyle name="Migliaia 50 3" xfId="1319"/>
    <cellStyle name="Migliaia 50 3 2" xfId="1320"/>
    <cellStyle name="Migliaia 50 4" xfId="1321"/>
    <cellStyle name="Migliaia 50 5" xfId="1322"/>
    <cellStyle name="Migliaia 51" xfId="1323"/>
    <cellStyle name="Migliaia 51 2" xfId="1324"/>
    <cellStyle name="Migliaia 51 3" xfId="1325"/>
    <cellStyle name="Migliaia 51 3 2" xfId="1326"/>
    <cellStyle name="Migliaia 51 4" xfId="1327"/>
    <cellStyle name="Migliaia 51 5" xfId="1328"/>
    <cellStyle name="Migliaia 52" xfId="1329"/>
    <cellStyle name="Migliaia 52 2" xfId="1330"/>
    <cellStyle name="Migliaia 52 3" xfId="1331"/>
    <cellStyle name="Migliaia 52 3 2" xfId="1332"/>
    <cellStyle name="Migliaia 52 4" xfId="1333"/>
    <cellStyle name="Migliaia 52 5" xfId="1334"/>
    <cellStyle name="Migliaia 53" xfId="1335"/>
    <cellStyle name="Migliaia 53 2" xfId="1336"/>
    <cellStyle name="Migliaia 53 3" xfId="1337"/>
    <cellStyle name="Migliaia 53 3 2" xfId="1338"/>
    <cellStyle name="Migliaia 53 4" xfId="1339"/>
    <cellStyle name="Migliaia 53 5" xfId="1340"/>
    <cellStyle name="Migliaia 54" xfId="1341"/>
    <cellStyle name="Migliaia 54 2" xfId="1342"/>
    <cellStyle name="Migliaia 54 3" xfId="1343"/>
    <cellStyle name="Migliaia 54 3 2" xfId="1344"/>
    <cellStyle name="Migliaia 54 4" xfId="1345"/>
    <cellStyle name="Migliaia 54 5" xfId="1346"/>
    <cellStyle name="Migliaia 55" xfId="1347"/>
    <cellStyle name="Migliaia 55 2" xfId="1348"/>
    <cellStyle name="Migliaia 55 3" xfId="1349"/>
    <cellStyle name="Migliaia 55 3 2" xfId="1350"/>
    <cellStyle name="Migliaia 55 4" xfId="1351"/>
    <cellStyle name="Migliaia 55 5" xfId="1352"/>
    <cellStyle name="Migliaia 56" xfId="1353"/>
    <cellStyle name="Migliaia 56 2" xfId="1354"/>
    <cellStyle name="Migliaia 56 3" xfId="1355"/>
    <cellStyle name="Migliaia 56 3 2" xfId="1356"/>
    <cellStyle name="Migliaia 56 4" xfId="1357"/>
    <cellStyle name="Migliaia 56 5" xfId="1358"/>
    <cellStyle name="Migliaia 57" xfId="1359"/>
    <cellStyle name="Migliaia 57 2" xfId="1360"/>
    <cellStyle name="Migliaia 57 3" xfId="1361"/>
    <cellStyle name="Migliaia 57 3 2" xfId="1362"/>
    <cellStyle name="Migliaia 57 4" xfId="1363"/>
    <cellStyle name="Migliaia 57 5" xfId="1364"/>
    <cellStyle name="Migliaia 58" xfId="1365"/>
    <cellStyle name="Migliaia 58 2" xfId="1366"/>
    <cellStyle name="Migliaia 58 3" xfId="1367"/>
    <cellStyle name="Migliaia 58 3 2" xfId="1368"/>
    <cellStyle name="Migliaia 58 4" xfId="1369"/>
    <cellStyle name="Migliaia 58 5" xfId="1370"/>
    <cellStyle name="Migliaia 59" xfId="1371"/>
    <cellStyle name="Migliaia 59 2" xfId="1372"/>
    <cellStyle name="Migliaia 59 3" xfId="1373"/>
    <cellStyle name="Migliaia 59 3 2" xfId="1374"/>
    <cellStyle name="Migliaia 59 4" xfId="1375"/>
    <cellStyle name="Migliaia 59 5" xfId="1376"/>
    <cellStyle name="Migliaia 6" xfId="1377"/>
    <cellStyle name="Migliaia 6 10" xfId="1378"/>
    <cellStyle name="Migliaia 6 11" xfId="1379"/>
    <cellStyle name="Migliaia 6 12" xfId="1380"/>
    <cellStyle name="Migliaia 6 13" xfId="1381"/>
    <cellStyle name="Migliaia 6 2" xfId="1382"/>
    <cellStyle name="Migliaia 6 2 2" xfId="1383"/>
    <cellStyle name="Migliaia 6 2 3" xfId="1384"/>
    <cellStyle name="Migliaia 6 2 3 2" xfId="1385"/>
    <cellStyle name="Migliaia 6 2 4" xfId="1386"/>
    <cellStyle name="Migliaia 6 2 5" xfId="1387"/>
    <cellStyle name="Migliaia 6 2 5 2" xfId="1388"/>
    <cellStyle name="Migliaia 6 2 6" xfId="1389"/>
    <cellStyle name="Migliaia 6 2 7" xfId="1390"/>
    <cellStyle name="Migliaia 6 2 8" xfId="1391"/>
    <cellStyle name="Migliaia 6 3" xfId="1392"/>
    <cellStyle name="Migliaia 6 3 2" xfId="1393"/>
    <cellStyle name="Migliaia 6 3 3" xfId="1394"/>
    <cellStyle name="Migliaia 6 3 4" xfId="1395"/>
    <cellStyle name="Migliaia 6 4" xfId="1396"/>
    <cellStyle name="Migliaia 6 4 2" xfId="1397"/>
    <cellStyle name="Migliaia 6 4 3" xfId="1398"/>
    <cellStyle name="Migliaia 6 4 4" xfId="1399"/>
    <cellStyle name="Migliaia 6 5" xfId="1400"/>
    <cellStyle name="Migliaia 6 5 2" xfId="1401"/>
    <cellStyle name="Migliaia 6 5 2 2" xfId="1402"/>
    <cellStyle name="Migliaia 6 5 3" xfId="1403"/>
    <cellStyle name="Migliaia 6 5 4" xfId="1404"/>
    <cellStyle name="Migliaia 6 5 5" xfId="1405"/>
    <cellStyle name="Migliaia 6 5 6" xfId="1406"/>
    <cellStyle name="Migliaia 6 5 7" xfId="1407"/>
    <cellStyle name="Migliaia 6 6" xfId="1408"/>
    <cellStyle name="Migliaia 6 6 2" xfId="1409"/>
    <cellStyle name="Migliaia 6 6 3" xfId="1410"/>
    <cellStyle name="Migliaia 6 6 4" xfId="1411"/>
    <cellStyle name="Migliaia 6 6 5" xfId="1412"/>
    <cellStyle name="Migliaia 6 7" xfId="1413"/>
    <cellStyle name="Migliaia 6 7 2" xfId="1414"/>
    <cellStyle name="Migliaia 6 8" xfId="1415"/>
    <cellStyle name="Migliaia 6 9" xfId="1416"/>
    <cellStyle name="Migliaia 60" xfId="1417"/>
    <cellStyle name="Migliaia 60 2" xfId="1418"/>
    <cellStyle name="Migliaia 60 3" xfId="1419"/>
    <cellStyle name="Migliaia 60 3 2" xfId="1420"/>
    <cellStyle name="Migliaia 60 4" xfId="1421"/>
    <cellStyle name="Migliaia 60 5" xfId="1422"/>
    <cellStyle name="Migliaia 61" xfId="1423"/>
    <cellStyle name="Migliaia 61 2" xfId="1424"/>
    <cellStyle name="Migliaia 61 3" xfId="1425"/>
    <cellStyle name="Migliaia 61 3 2" xfId="1426"/>
    <cellStyle name="Migliaia 61 4" xfId="1427"/>
    <cellStyle name="Migliaia 61 5" xfId="1428"/>
    <cellStyle name="Migliaia 62" xfId="1429"/>
    <cellStyle name="Migliaia 62 2" xfId="1430"/>
    <cellStyle name="Migliaia 62 3" xfId="1431"/>
    <cellStyle name="Migliaia 62 3 2" xfId="1432"/>
    <cellStyle name="Migliaia 62 4" xfId="1433"/>
    <cellStyle name="Migliaia 62 5" xfId="1434"/>
    <cellStyle name="Migliaia 63" xfId="1435"/>
    <cellStyle name="Migliaia 63 2" xfId="1436"/>
    <cellStyle name="Migliaia 63 3" xfId="1437"/>
    <cellStyle name="Migliaia 63 3 2" xfId="1438"/>
    <cellStyle name="Migliaia 63 4" xfId="1439"/>
    <cellStyle name="Migliaia 63 5" xfId="1440"/>
    <cellStyle name="Migliaia 64" xfId="1441"/>
    <cellStyle name="Migliaia 64 2" xfId="1442"/>
    <cellStyle name="Migliaia 64 3" xfId="1443"/>
    <cellStyle name="Migliaia 64 3 2" xfId="1444"/>
    <cellStyle name="Migliaia 64 4" xfId="1445"/>
    <cellStyle name="Migliaia 64 5" xfId="1446"/>
    <cellStyle name="Migliaia 65" xfId="1447"/>
    <cellStyle name="Migliaia 65 2" xfId="1448"/>
    <cellStyle name="Migliaia 65 3" xfId="1449"/>
    <cellStyle name="Migliaia 65 3 2" xfId="1450"/>
    <cellStyle name="Migliaia 65 4" xfId="1451"/>
    <cellStyle name="Migliaia 65 5" xfId="1452"/>
    <cellStyle name="Migliaia 66" xfId="1453"/>
    <cellStyle name="Migliaia 66 2" xfId="1454"/>
    <cellStyle name="Migliaia 66 3" xfId="1455"/>
    <cellStyle name="Migliaia 66 3 2" xfId="1456"/>
    <cellStyle name="Migliaia 66 4" xfId="1457"/>
    <cellStyle name="Migliaia 66 5" xfId="1458"/>
    <cellStyle name="Migliaia 67" xfId="1459"/>
    <cellStyle name="Migliaia 67 2" xfId="1460"/>
    <cellStyle name="Migliaia 68" xfId="1461"/>
    <cellStyle name="Migliaia 68 2" xfId="1462"/>
    <cellStyle name="Migliaia 68 3" xfId="1463"/>
    <cellStyle name="Migliaia 68 3 2" xfId="1464"/>
    <cellStyle name="Migliaia 68 4" xfId="1465"/>
    <cellStyle name="Migliaia 69" xfId="1466"/>
    <cellStyle name="Migliaia 69 2" xfId="1467"/>
    <cellStyle name="Migliaia 69 3" xfId="1468"/>
    <cellStyle name="Migliaia 69 3 2" xfId="1469"/>
    <cellStyle name="Migliaia 69 4" xfId="1470"/>
    <cellStyle name="Migliaia 7" xfId="1471"/>
    <cellStyle name="Migliaia 7 10" xfId="1472"/>
    <cellStyle name="Migliaia 7 2" xfId="1473"/>
    <cellStyle name="Migliaia 7 2 2" xfId="1474"/>
    <cellStyle name="Migliaia 7 2 2 2" xfId="1475"/>
    <cellStyle name="Migliaia 7 2 2 2 2" xfId="1476"/>
    <cellStyle name="Migliaia 7 2 2 3" xfId="1477"/>
    <cellStyle name="Migliaia 7 2 2 4" xfId="1478"/>
    <cellStyle name="Migliaia 7 2 3" xfId="1479"/>
    <cellStyle name="Migliaia 7 2 3 2" xfId="1480"/>
    <cellStyle name="Migliaia 7 2 4" xfId="1481"/>
    <cellStyle name="Migliaia 7 2 4 2" xfId="1482"/>
    <cellStyle name="Migliaia 7 2 5" xfId="1483"/>
    <cellStyle name="Migliaia 7 2 5 2" xfId="1484"/>
    <cellStyle name="Migliaia 7 2 6" xfId="1485"/>
    <cellStyle name="Migliaia 7 2 7" xfId="1486"/>
    <cellStyle name="Migliaia 7 2 8" xfId="1487"/>
    <cellStyle name="Migliaia 7 3" xfId="1488"/>
    <cellStyle name="Migliaia 7 3 2" xfId="1489"/>
    <cellStyle name="Migliaia 7 3 3" xfId="1490"/>
    <cellStyle name="Migliaia 7 4" xfId="1491"/>
    <cellStyle name="Migliaia 7 5" xfId="1492"/>
    <cellStyle name="Migliaia 7 6" xfId="1493"/>
    <cellStyle name="Migliaia 7 7" xfId="1494"/>
    <cellStyle name="Migliaia 7 8" xfId="1495"/>
    <cellStyle name="Migliaia 7 9" xfId="1496"/>
    <cellStyle name="Migliaia 70" xfId="1497"/>
    <cellStyle name="Migliaia 70 2" xfId="1498"/>
    <cellStyle name="Migliaia 70 3" xfId="1499"/>
    <cellStyle name="Migliaia 70 3 2" xfId="1500"/>
    <cellStyle name="Migliaia 70 4" xfId="1501"/>
    <cellStyle name="Migliaia 71" xfId="1502"/>
    <cellStyle name="Migliaia 71 2" xfId="1503"/>
    <cellStyle name="Migliaia 71 3" xfId="1504"/>
    <cellStyle name="Migliaia 71 3 2" xfId="1505"/>
    <cellStyle name="Migliaia 71 4" xfId="1506"/>
    <cellStyle name="Migliaia 72" xfId="1507"/>
    <cellStyle name="Migliaia 72 2" xfId="1508"/>
    <cellStyle name="Migliaia 72 3" xfId="1509"/>
    <cellStyle name="Migliaia 72 3 2" xfId="1510"/>
    <cellStyle name="Migliaia 72 4" xfId="1511"/>
    <cellStyle name="Migliaia 73" xfId="1512"/>
    <cellStyle name="Migliaia 73 2" xfId="1513"/>
    <cellStyle name="Migliaia 73 3" xfId="1514"/>
    <cellStyle name="Migliaia 73 3 2" xfId="1515"/>
    <cellStyle name="Migliaia 73 4" xfId="1516"/>
    <cellStyle name="Migliaia 74" xfId="1517"/>
    <cellStyle name="Migliaia 74 2" xfId="1518"/>
    <cellStyle name="Migliaia 74 3" xfId="1519"/>
    <cellStyle name="Migliaia 74 3 2" xfId="1520"/>
    <cellStyle name="Migliaia 74 4" xfId="1521"/>
    <cellStyle name="Migliaia 75" xfId="1522"/>
    <cellStyle name="Migliaia 75 2" xfId="1523"/>
    <cellStyle name="Migliaia 75 3" xfId="1524"/>
    <cellStyle name="Migliaia 75 3 2" xfId="1525"/>
    <cellStyle name="Migliaia 75 4" xfId="1526"/>
    <cellStyle name="Migliaia 76" xfId="1527"/>
    <cellStyle name="Migliaia 76 2" xfId="1528"/>
    <cellStyle name="Migliaia 76 3" xfId="1529"/>
    <cellStyle name="Migliaia 76 3 2" xfId="1530"/>
    <cellStyle name="Migliaia 76 4" xfId="1531"/>
    <cellStyle name="Migliaia 77" xfId="1532"/>
    <cellStyle name="Migliaia 77 2" xfId="1533"/>
    <cellStyle name="Migliaia 77 3" xfId="1534"/>
    <cellStyle name="Migliaia 77 3 2" xfId="1535"/>
    <cellStyle name="Migliaia 77 4" xfId="1536"/>
    <cellStyle name="Migliaia 78" xfId="1537"/>
    <cellStyle name="Migliaia 78 2" xfId="1538"/>
    <cellStyle name="Migliaia 78 3" xfId="1539"/>
    <cellStyle name="Migliaia 78 3 2" xfId="1540"/>
    <cellStyle name="Migliaia 78 4" xfId="1541"/>
    <cellStyle name="Migliaia 79" xfId="1542"/>
    <cellStyle name="Migliaia 8" xfId="1543"/>
    <cellStyle name="Migliaia 8 2" xfId="1544"/>
    <cellStyle name="Migliaia 8 2 2" xfId="1545"/>
    <cellStyle name="Migliaia 8 2 2 2" xfId="1546"/>
    <cellStyle name="Migliaia 8 2 3" xfId="1547"/>
    <cellStyle name="Migliaia 8 2 3 2" xfId="1548"/>
    <cellStyle name="Migliaia 8 2 4" xfId="1549"/>
    <cellStyle name="Migliaia 8 2 5" xfId="1550"/>
    <cellStyle name="Migliaia 8 2 6" xfId="1551"/>
    <cellStyle name="Migliaia 8 2 7" xfId="1552"/>
    <cellStyle name="Migliaia 8 3" xfId="1553"/>
    <cellStyle name="Migliaia 8 3 2" xfId="1554"/>
    <cellStyle name="Migliaia 8 4" xfId="1555"/>
    <cellStyle name="Migliaia 8 5" xfId="1556"/>
    <cellStyle name="Migliaia 8 6" xfId="1557"/>
    <cellStyle name="Migliaia 8 7" xfId="1558"/>
    <cellStyle name="Migliaia 80" xfId="1559"/>
    <cellStyle name="Migliaia 81" xfId="1560"/>
    <cellStyle name="Migliaia 82" xfId="1561"/>
    <cellStyle name="Migliaia 83" xfId="1562"/>
    <cellStyle name="Migliaia 84" xfId="1563"/>
    <cellStyle name="Migliaia 85" xfId="1564"/>
    <cellStyle name="Migliaia 86" xfId="1565"/>
    <cellStyle name="Migliaia 87" xfId="1566"/>
    <cellStyle name="Migliaia 88" xfId="1567"/>
    <cellStyle name="Migliaia 89" xfId="1568"/>
    <cellStyle name="Migliaia 9" xfId="1569"/>
    <cellStyle name="Migliaia 9 2" xfId="1570"/>
    <cellStyle name="Migliaia 9 2 2" xfId="1571"/>
    <cellStyle name="Migliaia 9 2 2 2" xfId="1572"/>
    <cellStyle name="Migliaia 9 2 3" xfId="1573"/>
    <cellStyle name="Migliaia 9 2 4" xfId="1574"/>
    <cellStyle name="Migliaia 9 2 5" xfId="1575"/>
    <cellStyle name="Migliaia 9 2 6" xfId="1576"/>
    <cellStyle name="Migliaia 9 3" xfId="1577"/>
    <cellStyle name="Migliaia 9 3 2" xfId="1578"/>
    <cellStyle name="Migliaia 9 3 3" xfId="1579"/>
    <cellStyle name="Migliaia 9 4" xfId="1580"/>
    <cellStyle name="Migliaia 9 5" xfId="1581"/>
    <cellStyle name="Migliaia 9 6" xfId="1582"/>
    <cellStyle name="Migliaia 9 7" xfId="1583"/>
    <cellStyle name="Migliaia 90" xfId="1584"/>
    <cellStyle name="Migliaia 91" xfId="1585"/>
    <cellStyle name="Migliaia 92" xfId="1586"/>
    <cellStyle name="Migliaia 93" xfId="1587"/>
    <cellStyle name="Migliaia 94" xfId="1588"/>
    <cellStyle name="Migliaia 95" xfId="1589"/>
    <cellStyle name="Migliaia 96" xfId="1590"/>
    <cellStyle name="Migliaia 97" xfId="1591"/>
    <cellStyle name="Migliaia 98" xfId="1592"/>
    <cellStyle name="Migliaia 99" xfId="1593"/>
    <cellStyle name="Neutrale" xfId="1594"/>
    <cellStyle name="Neutrale 2" xfId="1595"/>
    <cellStyle name="Neutrale 2 2" xfId="1596"/>
    <cellStyle name="Neutrale 2 3" xfId="1597"/>
    <cellStyle name="Neutrale 2 4" xfId="1598"/>
    <cellStyle name="Neutrale 3" xfId="1599"/>
    <cellStyle name="Normal 2" xfId="1600"/>
    <cellStyle name="Normal 2 2" xfId="1601"/>
    <cellStyle name="Normal 3" xfId="1602"/>
    <cellStyle name="Normal_20071018 Analisi Debito residuo e pagamenti" xfId="1603"/>
    <cellStyle name="Normale 10" xfId="1604"/>
    <cellStyle name="Normale 11" xfId="1605"/>
    <cellStyle name="Normale 11 2" xfId="1606"/>
    <cellStyle name="Normale 11 2 2" xfId="1607"/>
    <cellStyle name="Normale 12" xfId="1608"/>
    <cellStyle name="Normale 12 2" xfId="1609"/>
    <cellStyle name="Normale 13" xfId="1610"/>
    <cellStyle name="Normale 14" xfId="1611"/>
    <cellStyle name="Normale 15" xfId="1612"/>
    <cellStyle name="Normale 2" xfId="1613"/>
    <cellStyle name="Normale 2 10" xfId="1614"/>
    <cellStyle name="Normale 2 11" xfId="1615"/>
    <cellStyle name="Normale 2 2" xfId="1616"/>
    <cellStyle name="Normale 2 2 2" xfId="1617"/>
    <cellStyle name="Normale 2 2 2 2" xfId="1618"/>
    <cellStyle name="Normale 2 2 2 2 2" xfId="1619"/>
    <cellStyle name="Normale 2 2 2 2 2 2" xfId="1620"/>
    <cellStyle name="Normale 2 2 2 2 3" xfId="1621"/>
    <cellStyle name="Normale 2 2 2 2 3 2" xfId="1622"/>
    <cellStyle name="Normale 2 2 2 2 4" xfId="1623"/>
    <cellStyle name="Normale 2 2 2 2 5" xfId="1624"/>
    <cellStyle name="Normale 2 2 2 3" xfId="1625"/>
    <cellStyle name="Normale 2 2 2 3 2" xfId="1626"/>
    <cellStyle name="Normale 2 2 2 4" xfId="1627"/>
    <cellStyle name="Normale 2 2 3" xfId="1628"/>
    <cellStyle name="Normale 2 2 3 2" xfId="1629"/>
    <cellStyle name="Normale 2 2 3 2 2" xfId="1630"/>
    <cellStyle name="Normale 2 2 3 2 2 2" xfId="1631"/>
    <cellStyle name="Normale 2 2 3 2 3" xfId="1632"/>
    <cellStyle name="Normale 2 2 3 2 4" xfId="1633"/>
    <cellStyle name="Normale 2 2 3 2 5" xfId="1634"/>
    <cellStyle name="Normale 2 2 3 2 6" xfId="1635"/>
    <cellStyle name="Normale 2 2 3 2 7" xfId="1636"/>
    <cellStyle name="Normale 2 2 3 3" xfId="1637"/>
    <cellStyle name="Normale 2 2 3 3 2" xfId="1638"/>
    <cellStyle name="Normale 2 2 3 4" xfId="1639"/>
    <cellStyle name="Normale 2 2 3 4 2" xfId="1640"/>
    <cellStyle name="Normale 2 2 3 5" xfId="1641"/>
    <cellStyle name="Normale 2 2 3 6" xfId="1642"/>
    <cellStyle name="Normale 2 2 3_Beni e servizi" xfId="1643"/>
    <cellStyle name="Normale 2 2 4" xfId="1644"/>
    <cellStyle name="Normale 2 2 4 2" xfId="1645"/>
    <cellStyle name="Normale 2 2 4 2 2" xfId="1646"/>
    <cellStyle name="Normale 2 2 5" xfId="1647"/>
    <cellStyle name="Normale 2 2 5 2" xfId="1648"/>
    <cellStyle name="Normale 2 2 5 2 2" xfId="1649"/>
    <cellStyle name="Normale 2 2 5 3" xfId="1650"/>
    <cellStyle name="Normale 2 2 6" xfId="1651"/>
    <cellStyle name="Normale 2 2 6 2" xfId="1652"/>
    <cellStyle name="Normale 2 2 6 2 2" xfId="1653"/>
    <cellStyle name="Normale 2 2 6 3" xfId="1654"/>
    <cellStyle name="Normale 2 2 7" xfId="1655"/>
    <cellStyle name="Normale 2 2 7 2" xfId="1656"/>
    <cellStyle name="Normale 2 2 8" xfId="1657"/>
    <cellStyle name="Normale 2 2_118_AO_Bilancio_2011 - 951" xfId="1658"/>
    <cellStyle name="Normale 2 3" xfId="1659"/>
    <cellStyle name="Normale 2 3 2" xfId="1660"/>
    <cellStyle name="Normale 2 3 3" xfId="1661"/>
    <cellStyle name="Normale 2 3 3 2" xfId="1662"/>
    <cellStyle name="Normale 2 4" xfId="1663"/>
    <cellStyle name="Normale 2 5" xfId="1664"/>
    <cellStyle name="Normale 2 6" xfId="1665"/>
    <cellStyle name="Normale 2 7" xfId="1666"/>
    <cellStyle name="Normale 2 8" xfId="1667"/>
    <cellStyle name="Normale 2 9" xfId="1668"/>
    <cellStyle name="Normale 2_118_AO_Bilancio_2011 - 951" xfId="1669"/>
    <cellStyle name="Normale 3" xfId="1670"/>
    <cellStyle name="Normale 3 10" xfId="1671"/>
    <cellStyle name="Normale 3 11" xfId="1672"/>
    <cellStyle name="Normale 3 12" xfId="1673"/>
    <cellStyle name="Normale 3 13" xfId="1674"/>
    <cellStyle name="Normale 3 14" xfId="1675"/>
    <cellStyle name="Normale 3 2" xfId="1676"/>
    <cellStyle name="Normale 3 2 2" xfId="1677"/>
    <cellStyle name="Normale 3 2 2 2" xfId="1678"/>
    <cellStyle name="Normale 3 2 2 3" xfId="1679"/>
    <cellStyle name="Normale 3 2 2 4" xfId="1680"/>
    <cellStyle name="Normale 3 2 3" xfId="1681"/>
    <cellStyle name="Normale 3 2 4" xfId="1682"/>
    <cellStyle name="Normale 3 2 5" xfId="1683"/>
    <cellStyle name="Normale 3 2_Beni e servizi" xfId="1684"/>
    <cellStyle name="Normale 3 3" xfId="1685"/>
    <cellStyle name="Normale 3 3 2" xfId="1686"/>
    <cellStyle name="Normale 3 4" xfId="1687"/>
    <cellStyle name="Normale 3 4 2" xfId="1688"/>
    <cellStyle name="Normale 3 4 3" xfId="1689"/>
    <cellStyle name="Normale 3 4 4" xfId="1690"/>
    <cellStyle name="Normale 3 5" xfId="1691"/>
    <cellStyle name="Normale 3 6" xfId="1692"/>
    <cellStyle name="Normale 3 7" xfId="1693"/>
    <cellStyle name="Normale 3 8" xfId="1694"/>
    <cellStyle name="Normale 3 9" xfId="1695"/>
    <cellStyle name="Normale 3_118_AO_Bilancio_2011 - 951" xfId="1696"/>
    <cellStyle name="Normale 4" xfId="1697"/>
    <cellStyle name="Normale 4 2" xfId="1698"/>
    <cellStyle name="Normale 4 2 2" xfId="1699"/>
    <cellStyle name="Normale 4 2 2 2" xfId="1700"/>
    <cellStyle name="Normale 4 2 2 3" xfId="1701"/>
    <cellStyle name="Normale 4 2 2 4" xfId="1702"/>
    <cellStyle name="Normale 4 2 3" xfId="1703"/>
    <cellStyle name="Normale 4 3" xfId="1704"/>
    <cellStyle name="Normale 4_Beni e servizi" xfId="1705"/>
    <cellStyle name="Normale 5" xfId="1706"/>
    <cellStyle name="Normale 5 2" xfId="1707"/>
    <cellStyle name="Normale 5 2 2" xfId="1708"/>
    <cellStyle name="Normale 5 2 3" xfId="1709"/>
    <cellStyle name="Normale 5 2 4" xfId="1710"/>
    <cellStyle name="Normale 5 2 4 2" xfId="1711"/>
    <cellStyle name="Normale 5 2 5" xfId="1712"/>
    <cellStyle name="Normale 5 3" xfId="1713"/>
    <cellStyle name="Normale 5 3 2" xfId="1714"/>
    <cellStyle name="Normale 5 4" xfId="1715"/>
    <cellStyle name="Normale 5 4 2" xfId="1716"/>
    <cellStyle name="Normale 5 5" xfId="1717"/>
    <cellStyle name="Normale 5 6" xfId="1718"/>
    <cellStyle name="Normale 5 7" xfId="1719"/>
    <cellStyle name="Normale 5 8" xfId="1720"/>
    <cellStyle name="Normale 5 9" xfId="1721"/>
    <cellStyle name="Normale 5_Beni e servizi" xfId="1722"/>
    <cellStyle name="Normale 6" xfId="1723"/>
    <cellStyle name="Normale 6 10" xfId="1724"/>
    <cellStyle name="Normale 6 2" xfId="1725"/>
    <cellStyle name="Normale 6 2 2" xfId="1726"/>
    <cellStyle name="Normale 6 2 2 2" xfId="1727"/>
    <cellStyle name="Normale 6 2 3" xfId="1728"/>
    <cellStyle name="Normale 6 2 4" xfId="1729"/>
    <cellStyle name="Normale 6 2 5" xfId="1730"/>
    <cellStyle name="Normale 6 2 6" xfId="1731"/>
    <cellStyle name="Normale 6 3" xfId="1732"/>
    <cellStyle name="Normale 6 3 2" xfId="1733"/>
    <cellStyle name="Normale 6 3 3" xfId="1734"/>
    <cellStyle name="Normale 6 3 4" xfId="1735"/>
    <cellStyle name="Normale 6 4" xfId="1736"/>
    <cellStyle name="Normale 6 4 2" xfId="1737"/>
    <cellStyle name="Normale 6 4 3" xfId="1738"/>
    <cellStyle name="Normale 6 4 4" xfId="1739"/>
    <cellStyle name="Normale 6 4 5" xfId="1740"/>
    <cellStyle name="Normale 6 5" xfId="1741"/>
    <cellStyle name="Normale 6 5 2" xfId="1742"/>
    <cellStyle name="Normale 6 5 3" xfId="1743"/>
    <cellStyle name="Normale 6 6" xfId="1744"/>
    <cellStyle name="Normale 6 7" xfId="1745"/>
    <cellStyle name="Normale 6 8" xfId="1746"/>
    <cellStyle name="Normale 6 9" xfId="1747"/>
    <cellStyle name="Normale 7" xfId="1748"/>
    <cellStyle name="Normale 7 2" xfId="1749"/>
    <cellStyle name="Normale 7 2 2" xfId="1750"/>
    <cellStyle name="Normale 7 2 3" xfId="1751"/>
    <cellStyle name="Normale 7 2 4" xfId="1752"/>
    <cellStyle name="Normale 7 2 5" xfId="1753"/>
    <cellStyle name="Normale 7 3" xfId="1754"/>
    <cellStyle name="Normale 7 3 2" xfId="1755"/>
    <cellStyle name="Normale 7 3 3" xfId="1756"/>
    <cellStyle name="Normale 7 3 4" xfId="1757"/>
    <cellStyle name="Normale 7 4" xfId="1758"/>
    <cellStyle name="Normale 7 5" xfId="1759"/>
    <cellStyle name="Normale 7 6" xfId="1760"/>
    <cellStyle name="Normale 7 7" xfId="1761"/>
    <cellStyle name="Normale 8" xfId="1762"/>
    <cellStyle name="Normale 8 2" xfId="1763"/>
    <cellStyle name="Normale 8 3" xfId="1764"/>
    <cellStyle name="Normale 8 3 2" xfId="1765"/>
    <cellStyle name="Normale 8 4" xfId="1766"/>
    <cellStyle name="Normale 8 5" xfId="1767"/>
    <cellStyle name="Normale 9" xfId="1768"/>
    <cellStyle name="Normale 9 2" xfId="1769"/>
    <cellStyle name="Nota" xfId="1770"/>
    <cellStyle name="Nota 2" xfId="1771"/>
    <cellStyle name="Nota 2 2" xfId="1772"/>
    <cellStyle name="Nota 2 2 2" xfId="1773"/>
    <cellStyle name="Nota 2 2 2 2" xfId="1774"/>
    <cellStyle name="Nota 2 2 3" xfId="1775"/>
    <cellStyle name="Nota 2 2 3 2" xfId="1776"/>
    <cellStyle name="Nota 2 2 4" xfId="1777"/>
    <cellStyle name="Nota 2 3" xfId="1778"/>
    <cellStyle name="Nota 2 4" xfId="1779"/>
    <cellStyle name="Nota 2 5" xfId="1780"/>
    <cellStyle name="Nota 2 6" xfId="1781"/>
    <cellStyle name="Nota 3" xfId="1782"/>
    <cellStyle name="Output" xfId="1783"/>
    <cellStyle name="Output 2" xfId="1784"/>
    <cellStyle name="Output 2 2" xfId="1785"/>
    <cellStyle name="Output 2 3" xfId="1786"/>
    <cellStyle name="Output 2 4" xfId="1787"/>
    <cellStyle name="Output 2 5" xfId="1788"/>
    <cellStyle name="Output 3" xfId="1789"/>
    <cellStyle name="Percent" xfId="1790"/>
    <cellStyle name="Percentuale 2" xfId="1791"/>
    <cellStyle name="Percentuale 2 10" xfId="1792"/>
    <cellStyle name="Percentuale 2 2" xfId="1793"/>
    <cellStyle name="Percentuale 2 2 2" xfId="1794"/>
    <cellStyle name="Percentuale 2 2 2 2" xfId="1795"/>
    <cellStyle name="Percentuale 2 2 2 2 2" xfId="1796"/>
    <cellStyle name="Percentuale 2 2 2 3" xfId="1797"/>
    <cellStyle name="Percentuale 2 2 2 3 2" xfId="1798"/>
    <cellStyle name="Percentuale 2 2 2 4" xfId="1799"/>
    <cellStyle name="Percentuale 2 2 3" xfId="1800"/>
    <cellStyle name="Percentuale 2 2 3 2" xfId="1801"/>
    <cellStyle name="Percentuale 2 2 3 3" xfId="1802"/>
    <cellStyle name="Percentuale 2 2 3 3 2" xfId="1803"/>
    <cellStyle name="Percentuale 2 2 4" xfId="1804"/>
    <cellStyle name="Percentuale 2 2 4 2" xfId="1805"/>
    <cellStyle name="Percentuale 2 2 4 2 2" xfId="1806"/>
    <cellStyle name="Percentuale 2 2 4 3" xfId="1807"/>
    <cellStyle name="Percentuale 2 2 4 3 2" xfId="1808"/>
    <cellStyle name="Percentuale 2 2 4 4" xfId="1809"/>
    <cellStyle name="Percentuale 2 2 5" xfId="1810"/>
    <cellStyle name="Percentuale 2 2 5 2" xfId="1811"/>
    <cellStyle name="Percentuale 2 2 6" xfId="1812"/>
    <cellStyle name="Percentuale 2 3" xfId="1813"/>
    <cellStyle name="Percentuale 2 3 2" xfId="1814"/>
    <cellStyle name="Percentuale 2 3 2 2" xfId="1815"/>
    <cellStyle name="Percentuale 2 3 2 2 2" xfId="1816"/>
    <cellStyle name="Percentuale 2 3 2 2 2 2" xfId="1817"/>
    <cellStyle name="Percentuale 2 3 2 2 3" xfId="1818"/>
    <cellStyle name="Percentuale 2 3 2 3" xfId="1819"/>
    <cellStyle name="Percentuale 2 3 2 3 2" xfId="1820"/>
    <cellStyle name="Percentuale 2 3 2 4" xfId="1821"/>
    <cellStyle name="Percentuale 2 3 2 4 2" xfId="1822"/>
    <cellStyle name="Percentuale 2 3 2 5" xfId="1823"/>
    <cellStyle name="Percentuale 2 3 2 5 2" xfId="1824"/>
    <cellStyle name="Percentuale 2 3 2 6" xfId="1825"/>
    <cellStyle name="Percentuale 2 3 3" xfId="1826"/>
    <cellStyle name="Percentuale 2 3 3 2" xfId="1827"/>
    <cellStyle name="Percentuale 2 3 3 2 2" xfId="1828"/>
    <cellStyle name="Percentuale 2 3 3 3" xfId="1829"/>
    <cellStyle name="Percentuale 2 3 3 3 2" xfId="1830"/>
    <cellStyle name="Percentuale 2 3 3 4" xfId="1831"/>
    <cellStyle name="Percentuale 2 3 3 4 2" xfId="1832"/>
    <cellStyle name="Percentuale 2 3 3 5" xfId="1833"/>
    <cellStyle name="Percentuale 2 3 4" xfId="1834"/>
    <cellStyle name="Percentuale 2 3 5" xfId="1835"/>
    <cellStyle name="Percentuale 2 3 5 2" xfId="1836"/>
    <cellStyle name="Percentuale 2 3 6" xfId="1837"/>
    <cellStyle name="Percentuale 2 3 6 2" xfId="1838"/>
    <cellStyle name="Percentuale 2 3 7" xfId="1839"/>
    <cellStyle name="Percentuale 2 4" xfId="1840"/>
    <cellStyle name="Percentuale 2 4 2" xfId="1841"/>
    <cellStyle name="Percentuale 2 4 3" xfId="1842"/>
    <cellStyle name="Percentuale 2 4 4" xfId="1843"/>
    <cellStyle name="Percentuale 2 4 5" xfId="1844"/>
    <cellStyle name="Percentuale 2 4 5 2" xfId="1845"/>
    <cellStyle name="Percentuale 2 5" xfId="1846"/>
    <cellStyle name="Percentuale 2 5 2" xfId="1847"/>
    <cellStyle name="Percentuale 2 5 2 2" xfId="1848"/>
    <cellStyle name="Percentuale 2 5 2 2 2" xfId="1849"/>
    <cellStyle name="Percentuale 2 5 2 3" xfId="1850"/>
    <cellStyle name="Percentuale 2 5 3" xfId="1851"/>
    <cellStyle name="Percentuale 2 5 3 2" xfId="1852"/>
    <cellStyle name="Percentuale 2 5 4" xfId="1853"/>
    <cellStyle name="Percentuale 2 5 4 2" xfId="1854"/>
    <cellStyle name="Percentuale 2 5 5" xfId="1855"/>
    <cellStyle name="Percentuale 2 5 5 2" xfId="1856"/>
    <cellStyle name="Percentuale 2 5 6" xfId="1857"/>
    <cellStyle name="Percentuale 2 6" xfId="1858"/>
    <cellStyle name="Percentuale 2 6 2" xfId="1859"/>
    <cellStyle name="Percentuale 2 6 2 2" xfId="1860"/>
    <cellStyle name="Percentuale 2 6 3" xfId="1861"/>
    <cellStyle name="Percentuale 2 7" xfId="1862"/>
    <cellStyle name="Percentuale 2 8" xfId="1863"/>
    <cellStyle name="Percentuale 2 8 2" xfId="1864"/>
    <cellStyle name="Percentuale 2 9" xfId="1865"/>
    <cellStyle name="Percentuale 2 9 2" xfId="1866"/>
    <cellStyle name="Percentuale 3" xfId="1867"/>
    <cellStyle name="Percentuale 3 2" xfId="1868"/>
    <cellStyle name="Percentuale 3 2 2" xfId="1869"/>
    <cellStyle name="Percentuale 3 2 2 2" xfId="1870"/>
    <cellStyle name="Percentuale 3 2 3" xfId="1871"/>
    <cellStyle name="Percentuale 3 3" xfId="1872"/>
    <cellStyle name="Percentuale 3 3 2" xfId="1873"/>
    <cellStyle name="Percentuale 3 3 3" xfId="1874"/>
    <cellStyle name="Percentuale 3 3 3 2" xfId="1875"/>
    <cellStyle name="Percentuale 3 4" xfId="1876"/>
    <cellStyle name="Percentuale 3 4 2" xfId="1877"/>
    <cellStyle name="Percentuale 3 4 2 2" xfId="1878"/>
    <cellStyle name="Percentuale 3 4 3" xfId="1879"/>
    <cellStyle name="Percentuale 3 4 3 2" xfId="1880"/>
    <cellStyle name="Percentuale 3 4 4" xfId="1881"/>
    <cellStyle name="Percentuale 3 5" xfId="1882"/>
    <cellStyle name="Percentuale 3 5 2" xfId="1883"/>
    <cellStyle name="Percentuale 3 6" xfId="1884"/>
    <cellStyle name="Percentuale 4" xfId="1885"/>
    <cellStyle name="Percentuale 4 2" xfId="1886"/>
    <cellStyle name="Percentuale 4 2 2" xfId="1887"/>
    <cellStyle name="Percentuale 4 2 2 2" xfId="1888"/>
    <cellStyle name="Percentuale 4 2 3" xfId="1889"/>
    <cellStyle name="Percentuale 4 2 3 2" xfId="1890"/>
    <cellStyle name="Percentuale 4 2 4" xfId="1891"/>
    <cellStyle name="Percentuale 4 3" xfId="1892"/>
    <cellStyle name="Percentuale 4 3 2" xfId="1893"/>
    <cellStyle name="Percentuale 4 3 2 2" xfId="1894"/>
    <cellStyle name="Percentuale 4 3 3" xfId="1895"/>
    <cellStyle name="Percentuale 4 3 3 2" xfId="1896"/>
    <cellStyle name="Percentuale 4 3 4" xfId="1897"/>
    <cellStyle name="Percentuale 4 4" xfId="1898"/>
    <cellStyle name="Percentuale 4 4 2" xfId="1899"/>
    <cellStyle name="Percentuale 4 5" xfId="1900"/>
    <cellStyle name="Percentuale 5" xfId="1901"/>
    <cellStyle name="Percentuale 5 2" xfId="1902"/>
    <cellStyle name="Percentuale 5 2 2" xfId="1903"/>
    <cellStyle name="Percentuale 5 3" xfId="1904"/>
    <cellStyle name="Risultato 1" xfId="1905"/>
    <cellStyle name="SAS FM Client calculated data cell (data entry table)" xfId="1906"/>
    <cellStyle name="SAS FM Client calculated data cell (data entry table) 2" xfId="1907"/>
    <cellStyle name="SAS FM Client calculated data cell (data entry table) 3" xfId="1908"/>
    <cellStyle name="SAS FM Client calculated data cell (data entry table) 3 2" xfId="1909"/>
    <cellStyle name="SAS FM Client calculated data cell (data entry table) 4" xfId="1910"/>
    <cellStyle name="SAS FM Client calculated data cell (read only table)" xfId="1911"/>
    <cellStyle name="SAS FM Client calculated data cell (read only table) 2" xfId="1912"/>
    <cellStyle name="SAS FM Client calculated data cell (read only table) 3" xfId="1913"/>
    <cellStyle name="SAS FM Client calculated data cell (read only table) 3 2" xfId="1914"/>
    <cellStyle name="SAS FM Client calculated data cell (read only table) 4" xfId="1915"/>
    <cellStyle name="SAS FM Column drillable header" xfId="1916"/>
    <cellStyle name="SAS FM Column drillable header 2" xfId="1917"/>
    <cellStyle name="SAS FM Column header" xfId="1918"/>
    <cellStyle name="SAS FM Column header 2" xfId="1919"/>
    <cellStyle name="SAS FM Drill path" xfId="1920"/>
    <cellStyle name="SAS FM Drill path 2" xfId="1921"/>
    <cellStyle name="SAS FM Invalid data cell" xfId="1922"/>
    <cellStyle name="SAS FM Invalid data cell 2" xfId="1923"/>
    <cellStyle name="SAS FM Invalid data cell 3" xfId="1924"/>
    <cellStyle name="SAS FM Invalid data cell 3 2" xfId="1925"/>
    <cellStyle name="SAS FM Invalid data cell 4" xfId="1926"/>
    <cellStyle name="SAS FM No query data cell" xfId="1927"/>
    <cellStyle name="SAS FM No query data cell 2" xfId="1928"/>
    <cellStyle name="SAS FM No query data cell 3" xfId="1929"/>
    <cellStyle name="SAS FM No query data cell 3 2" xfId="1930"/>
    <cellStyle name="SAS FM No query data cell 4" xfId="1931"/>
    <cellStyle name="SAS FM Protected member data cell" xfId="1932"/>
    <cellStyle name="SAS FM Protected member data cell 2" xfId="1933"/>
    <cellStyle name="SAS FM Protected member data cell 3" xfId="1934"/>
    <cellStyle name="SAS FM Protected member data cell 3 2" xfId="1935"/>
    <cellStyle name="SAS FM Protected member data cell 4" xfId="1936"/>
    <cellStyle name="SAS FM Read-only data cell (data entry table)" xfId="1937"/>
    <cellStyle name="SAS FM Read-only data cell (data entry table) 2" xfId="1938"/>
    <cellStyle name="SAS FM Read-only data cell (data entry table) 3" xfId="1939"/>
    <cellStyle name="SAS FM Read-only data cell (data entry table) 3 2" xfId="1940"/>
    <cellStyle name="SAS FM Read-only data cell (data entry table) 4" xfId="1941"/>
    <cellStyle name="SAS FM Read-only data cell (read-only table)" xfId="1942"/>
    <cellStyle name="SAS FM Read-only data cell (read-only table) 2" xfId="1943"/>
    <cellStyle name="SAS FM Read-only data cell (read-only table) 3" xfId="1944"/>
    <cellStyle name="SAS FM Read-only data cell (read-only table) 3 2" xfId="1945"/>
    <cellStyle name="SAS FM Read-only data cell (read-only table) 4" xfId="1946"/>
    <cellStyle name="SAS FM Row drillable header" xfId="1947"/>
    <cellStyle name="SAS FM Row drillable header 2" xfId="1948"/>
    <cellStyle name="SAS FM Row drillable header 2 2" xfId="1949"/>
    <cellStyle name="SAS FM Row drillable header 2 2 2" xfId="1950"/>
    <cellStyle name="SAS FM Row drillable header 3" xfId="1951"/>
    <cellStyle name="SAS FM Row drillable header 3 2" xfId="1952"/>
    <cellStyle name="SAS FM Row drillable header 3 3" xfId="1953"/>
    <cellStyle name="SAS FM Row drillable header 4" xfId="1954"/>
    <cellStyle name="SAS FM Row drillable header 4 2" xfId="1955"/>
    <cellStyle name="SAS FM Row drillable header 4 3" xfId="1956"/>
    <cellStyle name="SAS FM Row drillable header 4 4" xfId="1957"/>
    <cellStyle name="SAS FM Row drillable header 5" xfId="1958"/>
    <cellStyle name="SAS FM Row drillable header 6" xfId="1959"/>
    <cellStyle name="SAS FM Row header" xfId="1960"/>
    <cellStyle name="SAS FM Row header 2" xfId="1961"/>
    <cellStyle name="SAS FM Row header 2 2" xfId="1962"/>
    <cellStyle name="SAS FM Row header 2 2 2" xfId="1963"/>
    <cellStyle name="SAS FM Row header 3" xfId="1964"/>
    <cellStyle name="SAS FM Row header 4" xfId="1965"/>
    <cellStyle name="SAS FM Row header 4 2" xfId="1966"/>
    <cellStyle name="SAS FM Row header 4 3" xfId="1967"/>
    <cellStyle name="SAS FM Row header 5" xfId="1968"/>
    <cellStyle name="SAS FM Row header 5 2" xfId="1969"/>
    <cellStyle name="SAS FM Row header 5 3" xfId="1970"/>
    <cellStyle name="SAS FM Row header 6" xfId="1971"/>
    <cellStyle name="SAS FM Slicers" xfId="1972"/>
    <cellStyle name="SAS FM Slicers 2" xfId="1973"/>
    <cellStyle name="SAS FM Supplemented member data cell" xfId="1974"/>
    <cellStyle name="SAS FM Supplemented member data cell 2" xfId="1975"/>
    <cellStyle name="SAS FM Supplemented member data cell 3" xfId="1976"/>
    <cellStyle name="SAS FM Supplemented member data cell 3 2" xfId="1977"/>
    <cellStyle name="SAS FM Supplemented member data cell 4" xfId="1978"/>
    <cellStyle name="SAS FM Writeable data cell" xfId="1979"/>
    <cellStyle name="SAS FM Writeable data cell 2" xfId="1980"/>
    <cellStyle name="SAS FM Writeable data cell 3" xfId="1981"/>
    <cellStyle name="SAS FM Writeable data cell 3 2" xfId="1982"/>
    <cellStyle name="SAS FM Writeable data cell 4" xfId="1983"/>
    <cellStyle name="Testo avviso" xfId="1984"/>
    <cellStyle name="Testo avviso 2" xfId="1985"/>
    <cellStyle name="Testo avviso 2 2" xfId="1986"/>
    <cellStyle name="Testo avviso 2 3" xfId="1987"/>
    <cellStyle name="Testo avviso 2 4" xfId="1988"/>
    <cellStyle name="Testo descrittivo" xfId="1989"/>
    <cellStyle name="Testo descrittivo 2" xfId="1990"/>
    <cellStyle name="Testo descrittivo 2 2" xfId="1991"/>
    <cellStyle name="Testo descrittivo 2 3" xfId="1992"/>
    <cellStyle name="Testo descrittivo 2 4" xfId="1993"/>
    <cellStyle name="Testo descrittivo 2 5" xfId="1994"/>
    <cellStyle name="Titolo" xfId="1995"/>
    <cellStyle name="Titolo 1" xfId="1996"/>
    <cellStyle name="Titolo 1 2" xfId="1997"/>
    <cellStyle name="Titolo 1 2 2" xfId="1998"/>
    <cellStyle name="Titolo 1 2 3" xfId="1999"/>
    <cellStyle name="Titolo 1 2 4" xfId="2000"/>
    <cellStyle name="Titolo 1 2 5" xfId="2001"/>
    <cellStyle name="Titolo 1 3" xfId="2002"/>
    <cellStyle name="Titolo 2" xfId="2003"/>
    <cellStyle name="Titolo 2 2" xfId="2004"/>
    <cellStyle name="Titolo 2 2 2" xfId="2005"/>
    <cellStyle name="Titolo 2 2 3" xfId="2006"/>
    <cellStyle name="Titolo 2 2 4" xfId="2007"/>
    <cellStyle name="Titolo 2 2 5" xfId="2008"/>
    <cellStyle name="Titolo 2 3" xfId="2009"/>
    <cellStyle name="Titolo 3" xfId="2010"/>
    <cellStyle name="Titolo 3 2" xfId="2011"/>
    <cellStyle name="Titolo 3 2 2" xfId="2012"/>
    <cellStyle name="Titolo 3 2 3" xfId="2013"/>
    <cellStyle name="Titolo 3 2 4" xfId="2014"/>
    <cellStyle name="Titolo 3 2 5" xfId="2015"/>
    <cellStyle name="Titolo 3 3" xfId="2016"/>
    <cellStyle name="Titolo 4" xfId="2017"/>
    <cellStyle name="Titolo 4 2" xfId="2018"/>
    <cellStyle name="Titolo 4 2 2" xfId="2019"/>
    <cellStyle name="Titolo 4 2 3" xfId="2020"/>
    <cellStyle name="Titolo 4 2 4" xfId="2021"/>
    <cellStyle name="Titolo 4 2 5" xfId="2022"/>
    <cellStyle name="Titolo 4 3" xfId="2023"/>
    <cellStyle name="Titolo 5" xfId="2024"/>
    <cellStyle name="Titolo 5 2" xfId="2025"/>
    <cellStyle name="Titolo 5 3" xfId="2026"/>
    <cellStyle name="Titolo 5 4" xfId="2027"/>
    <cellStyle name="Titolo 5 5" xfId="2028"/>
    <cellStyle name="Titolo 6" xfId="2029"/>
    <cellStyle name="Titolo 6 2" xfId="2030"/>
    <cellStyle name="Titolo 7" xfId="2031"/>
    <cellStyle name="Titolo 8" xfId="2032"/>
    <cellStyle name="Totale" xfId="2033"/>
    <cellStyle name="Totale 2" xfId="2034"/>
    <cellStyle name="Totale 2 2" xfId="2035"/>
    <cellStyle name="Totale 2 3" xfId="2036"/>
    <cellStyle name="Totale 2 4" xfId="2037"/>
    <cellStyle name="Totale 2 5" xfId="2038"/>
    <cellStyle name="Totale 3" xfId="2039"/>
    <cellStyle name="Valore non valido" xfId="2040"/>
    <cellStyle name="Valore non valido 2" xfId="2041"/>
    <cellStyle name="Valore non valido 2 2" xfId="2042"/>
    <cellStyle name="Valore non valido 2 3" xfId="2043"/>
    <cellStyle name="Valore non valido 2 4" xfId="2044"/>
    <cellStyle name="Valore non valido 3" xfId="2045"/>
    <cellStyle name="Valore tabella pivot" xfId="2046"/>
    <cellStyle name="Valore valido" xfId="2047"/>
    <cellStyle name="Valore valido 2" xfId="2048"/>
    <cellStyle name="Valore valido 2 2" xfId="2049"/>
    <cellStyle name="Valore valido 2 3" xfId="2050"/>
    <cellStyle name="Valore valido 2 4" xfId="2051"/>
    <cellStyle name="Valore valido 3" xfId="2052"/>
    <cellStyle name="Currency" xfId="2053"/>
    <cellStyle name="Currency [0]" xfId="2054"/>
    <cellStyle name="Valuta [0] 2" xfId="2055"/>
    <cellStyle name="Valuta [0] 2 2" xfId="2056"/>
    <cellStyle name="Valuta [0] 2_SCHEDA 952 2" xfId="2057"/>
    <cellStyle name="Valuta [0] 3" xfId="2058"/>
    <cellStyle name="Valuta [0] 3 2" xfId="2059"/>
    <cellStyle name="Valuta [0] 3 3" xfId="2060"/>
    <cellStyle name="Valuta 2" xfId="2061"/>
    <cellStyle name="Valuta 3" xfId="2062"/>
    <cellStyle name="Valuta 3 2" xfId="2063"/>
    <cellStyle name="Valuta 3 2 2" xfId="2064"/>
    <cellStyle name="Valuta 3 3" xfId="2065"/>
    <cellStyle name="Valuta 3 4" xfId="2066"/>
  </cellStyles>
  <dxfs count="25">
    <dxf>
      <font>
        <b val="0"/>
        <i val="0"/>
        <name val="Cambria"/>
        <color rgb="FF006100"/>
      </font>
      <fill>
        <patternFill>
          <bgColor rgb="FF99FF99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rgb="FF006100"/>
      </font>
      <fill>
        <patternFill>
          <bgColor rgb="FF99FF99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theme="9" tint="0.5999600291252136"/>
        </patternFill>
      </fill>
      <border/>
    </dxf>
    <dxf>
      <font>
        <b/>
        <i val="0"/>
        <color auto="1"/>
      </font>
      <fill>
        <patternFill>
          <bgColor rgb="FFFF5050"/>
        </patternFill>
      </fill>
      <border/>
    </dxf>
    <dxf>
      <font>
        <b val="0"/>
        <i val="0"/>
        <color auto="1"/>
      </font>
      <fill>
        <patternFill>
          <bgColor rgb="FFFF5050"/>
        </patternFill>
      </fill>
      <border/>
    </dxf>
    <dxf>
      <font>
        <b val="0"/>
        <i val="0"/>
        <color rgb="FF006100"/>
      </font>
      <fill>
        <patternFill>
          <bgColor rgb="FF99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lmilano.it\dati\Users\l.lorenzini\Downloads\MT%202016\Modelli\piano_degli_investimenti_PREV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delrio\AppData\Local\Temp\Temp1_piano_dei_flussi_di_cassa_prospettici_FLCP.zip\piano_dei_flussi_di_cassa_prospettici_ATS_gener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0.16.237\e$\Users\mozzanicad\AppData\Local\Temp\wz1a06\Users\BasilicoA\Desktop\MODELLI%20PIANO%20INVESTIMENTI-SINTPREV\ASL.BDG.FINANZIARIO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_OUT"/>
      <sheetName val="VERSIONI"/>
      <sheetName val="ANAGR"/>
      <sheetName val="Info"/>
      <sheetName val="Piano_Inv_Prospetto A"/>
      <sheetName val="Piano_Inv_Prospetto 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_OUT"/>
      <sheetName val="VERSIONI"/>
      <sheetName val="ANAGR"/>
      <sheetName val="MESI"/>
      <sheetName val="Info"/>
      <sheetName val="Assegnazioni da Regione"/>
      <sheetName val="Assegnazione socio san"/>
      <sheetName val="Prospetto di sintesi"/>
      <sheetName val="Beni e servizi"/>
      <sheetName val="Erogatori"/>
      <sheetName val="Servizi socio sanitari"/>
      <sheetName val="Crediti da Regione pregressi"/>
      <sheetName val="MAPP_ENTI"/>
      <sheetName val="ASSEG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.FONTI DI FINAN.-NUOVA "/>
      <sheetName val="BDG 2012"/>
      <sheetName val="Tesoreria "/>
      <sheetName val="DETT. CONTRIBUTI.CAP."/>
      <sheetName val="SK1.EROG.PUBBL.SAN.2012"/>
      <sheetName val="SK1.EROG.SAN.2011.E.PREC."/>
      <sheetName val="QUADRATURE"/>
    </sheetNames>
    <sheetDataSet>
      <sheetData sheetId="5">
        <row r="8">
          <cell r="AF8" t="str">
            <v>Privato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51" bestFit="1" customWidth="1"/>
    <col min="2" max="2" width="12.421875" style="51" bestFit="1" customWidth="1"/>
    <col min="3" max="16384" width="9.140625" style="51" customWidth="1"/>
  </cols>
  <sheetData>
    <row r="1" spans="1:3" ht="12.75">
      <c r="A1" s="79" t="s">
        <v>0</v>
      </c>
      <c r="B1" s="51" t="s">
        <v>1</v>
      </c>
      <c r="C1" s="51" t="s">
        <v>2</v>
      </c>
    </row>
    <row r="2" spans="1:3" ht="12.75">
      <c r="A2" s="79" t="str">
        <f>UPPER(Info!$B$8)</f>
        <v>V1</v>
      </c>
      <c r="B2" s="79" t="str">
        <f>UPPER(Info!$B$9)</f>
        <v>01_GENNAIO</v>
      </c>
      <c r="C2" s="51" t="str">
        <f>"FLCP"&amp;B2</f>
        <v>FLCP01_GENNAIO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7"/>
  <sheetViews>
    <sheetView showGridLines="0" zoomScale="60" zoomScaleNormal="60" zoomScaleSheetLayoutView="39" zoomScalePageLayoutView="0" workbookViewId="0" topLeftCell="B64">
      <selection activeCell="E9" sqref="E9"/>
    </sheetView>
  </sheetViews>
  <sheetFormatPr defaultColWidth="9.140625" defaultRowHeight="15"/>
  <cols>
    <col min="1" max="1" width="15.28125" style="52" hidden="1" customWidth="1"/>
    <col min="2" max="2" width="152.7109375" style="52" customWidth="1"/>
    <col min="3" max="3" width="36.8515625" style="52" customWidth="1"/>
    <col min="4" max="4" width="35.57421875" style="52" customWidth="1"/>
    <col min="5" max="5" width="36.57421875" style="52" customWidth="1"/>
    <col min="6" max="6" width="37.7109375" style="52" customWidth="1"/>
    <col min="7" max="7" width="34.57421875" style="52" customWidth="1"/>
    <col min="8" max="8" width="35.28125" style="52" customWidth="1"/>
    <col min="9" max="9" width="36.8515625" style="52" customWidth="1"/>
    <col min="10" max="10" width="48.421875" style="52" customWidth="1"/>
    <col min="11" max="11" width="15.00390625" style="52" bestFit="1" customWidth="1"/>
    <col min="12" max="16384" width="9.140625" style="52" customWidth="1"/>
  </cols>
  <sheetData>
    <row r="2" spans="2:3" ht="18.75">
      <c r="B2" s="53" t="s">
        <v>330</v>
      </c>
      <c r="C2" s="54" t="s">
        <v>331</v>
      </c>
    </row>
    <row r="3" spans="2:3" ht="26.25">
      <c r="B3" s="55" t="str">
        <f>Info!$C$2</f>
        <v>ASST SANTI PAOLO E CARLO</v>
      </c>
      <c r="C3" s="55" t="str">
        <f>Info!$B$2</f>
        <v>702</v>
      </c>
    </row>
    <row r="6" spans="2:46" s="56" customFormat="1" ht="48" customHeight="1">
      <c r="B6" s="57" t="s">
        <v>577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8" spans="2:10" ht="36.75" customHeight="1">
      <c r="B8" s="12" t="s">
        <v>578</v>
      </c>
      <c r="C8" s="236" t="str">
        <f>Info!B3-1&amp;" E PRECEDENTI"</f>
        <v>2018 E PRECEDENTI</v>
      </c>
      <c r="D8"/>
      <c r="E8" s="237" t="s">
        <v>514</v>
      </c>
      <c r="F8" s="72"/>
      <c r="G8" s="72"/>
      <c r="H8" s="72"/>
      <c r="I8" s="72"/>
      <c r="J8" s="72"/>
    </row>
    <row r="9" spans="1:10" ht="26.25">
      <c r="A9" s="52" t="s">
        <v>579</v>
      </c>
      <c r="B9" s="233" t="str">
        <f>IF(ISERROR(VLOOKUP("LR23_EX1_"&amp;$C$3,MAPP_ENTI!$A$2:$D$100,4,FALSE)),"",VLOOKUP("LR23_EX1_"&amp;$C$3,MAPP_ENTI!$A$2:$D$100,4,FALSE))</f>
        <v>702 - ASST SANTI PAOLO E CARLO</v>
      </c>
      <c r="C9" s="221">
        <v>129266000</v>
      </c>
      <c r="D9"/>
      <c r="E9" s="459" t="s">
        <v>922</v>
      </c>
      <c r="F9" s="73"/>
      <c r="G9" s="73"/>
      <c r="H9" s="73"/>
      <c r="I9" s="73"/>
      <c r="J9" s="73"/>
    </row>
    <row r="10" spans="1:10" ht="26.25">
      <c r="A10" s="52" t="s">
        <v>580</v>
      </c>
      <c r="B10" s="234">
        <f>IF(ISERROR(VLOOKUP("LR23_EX2_"&amp;$C$3,MAPP_ENTI!$A$2:$D$100,4,FALSE)),"",VLOOKUP("LR23_EX2_"&amp;$C$3,MAPP_ENTI!$A$2:$D$100,4,FALSE))</f>
      </c>
      <c r="C10" s="224"/>
      <c r="D10"/>
      <c r="E10" s="227"/>
      <c r="F10" s="74"/>
      <c r="G10" s="74"/>
      <c r="H10" s="74"/>
      <c r="I10" s="74"/>
      <c r="J10" s="74"/>
    </row>
    <row r="11" spans="1:10" ht="26.25">
      <c r="A11" s="52" t="s">
        <v>581</v>
      </c>
      <c r="B11" s="234">
        <f>IF(ISERROR(VLOOKUP("LR23_EX3_"&amp;$C$3,MAPP_ENTI!$A$2:$D$100,4,FALSE)),"",VLOOKUP("LR23_EX3_"&amp;$C$3,MAPP_ENTI!$A$2:$D$100,4,FALSE))</f>
      </c>
      <c r="C11" s="224"/>
      <c r="D11"/>
      <c r="E11" s="227"/>
      <c r="F11" s="74"/>
      <c r="G11" s="74"/>
      <c r="H11" s="74"/>
      <c r="I11" s="74"/>
      <c r="J11" s="74"/>
    </row>
    <row r="12" spans="1:10" ht="26.25">
      <c r="A12" s="52" t="s">
        <v>582</v>
      </c>
      <c r="B12" s="234">
        <f>IF(ISERROR(VLOOKUP("LR23_EX4_"&amp;$C$3,MAPP_ENTI!$A$2:$D$100,4,FALSE)),"",VLOOKUP("LR23_EX4_"&amp;$C$3,MAPP_ENTI!$A$2:$D$100,4,FALSE))</f>
      </c>
      <c r="C12" s="224"/>
      <c r="D12"/>
      <c r="E12" s="227"/>
      <c r="F12" s="74"/>
      <c r="G12" s="74"/>
      <c r="H12" s="74"/>
      <c r="I12" s="74"/>
      <c r="J12" s="74"/>
    </row>
    <row r="13" spans="1:10" ht="26.25">
      <c r="A13" s="52" t="s">
        <v>583</v>
      </c>
      <c r="B13" s="234">
        <f>IF(ISERROR(VLOOKUP("LR23_EX5_"&amp;$C$3,MAPP_ENTI!$A$2:$D$100,4,FALSE)),"",VLOOKUP("LR23_EX5_"&amp;$C$3,MAPP_ENTI!$A$2:$D$100,4,FALSE))</f>
      </c>
      <c r="C13" s="224"/>
      <c r="D13"/>
      <c r="E13" s="227"/>
      <c r="F13" s="74"/>
      <c r="G13" s="74"/>
      <c r="H13" s="74"/>
      <c r="I13" s="74"/>
      <c r="J13" s="74"/>
    </row>
    <row r="14" spans="1:10" ht="26.25">
      <c r="A14" s="52" t="s">
        <v>584</v>
      </c>
      <c r="B14" s="234">
        <f>IF(ISERROR(VLOOKUP("LR23_EX6_"&amp;$C$3,MAPP_ENTI!$A$2:$D$100,4,FALSE)),"",VLOOKUP("LR23_EX6_"&amp;$C$3,MAPP_ENTI!$A$2:$D$100,4,FALSE))</f>
      </c>
      <c r="C14" s="224"/>
      <c r="D14"/>
      <c r="E14" s="227"/>
      <c r="F14" s="74"/>
      <c r="G14" s="74"/>
      <c r="H14" s="74"/>
      <c r="I14" s="74"/>
      <c r="J14" s="74"/>
    </row>
    <row r="15" spans="1:10" ht="26.25">
      <c r="A15" s="52" t="s">
        <v>585</v>
      </c>
      <c r="B15" s="235">
        <f>IF(ISERROR(VLOOKUP("LR23_EX7_"&amp;$C$3,MAPP_ENTI!$A$2:$D$100,4,FALSE)),"",VLOOKUP("LR23_EX7_"&amp;$C$3,MAPP_ENTI!$A$2:$D$100,4,FALSE))</f>
      </c>
      <c r="C15" s="229"/>
      <c r="D15"/>
      <c r="E15" s="230"/>
      <c r="F15" s="74"/>
      <c r="G15" s="74"/>
      <c r="H15" s="74"/>
      <c r="I15" s="74"/>
      <c r="J15" s="74"/>
    </row>
    <row r="16" spans="1:10" ht="18.75">
      <c r="A16" s="52" t="s">
        <v>586</v>
      </c>
      <c r="B16" s="238" t="s">
        <v>587</v>
      </c>
      <c r="C16" s="239">
        <f>SUM(C9:C15)</f>
        <v>129266000</v>
      </c>
      <c r="D16"/>
      <c r="E16"/>
      <c r="F16" s="75"/>
      <c r="G16" s="75"/>
      <c r="H16" s="75"/>
      <c r="I16" s="75"/>
      <c r="J16" s="75"/>
    </row>
    <row r="18" ht="26.25">
      <c r="B18" s="76"/>
    </row>
    <row r="19" spans="2:10" ht="26.25">
      <c r="B19" s="71" t="s">
        <v>588</v>
      </c>
      <c r="C19" s="90" t="str">
        <f>MID($B9,1,3)</f>
        <v>702</v>
      </c>
      <c r="D19" s="90">
        <f>MID($B10,1,3)</f>
      </c>
      <c r="E19" s="90">
        <f>MID($B11,1,3)</f>
      </c>
      <c r="F19" s="90">
        <f>MID($B12,1,3)</f>
      </c>
      <c r="G19" s="90">
        <f>MID($B13,1,3)</f>
      </c>
      <c r="H19" s="90">
        <f>MID($B14,1,3)</f>
      </c>
      <c r="I19" s="90">
        <f>MID($B15,1,3)</f>
      </c>
      <c r="J19" s="71" t="s">
        <v>589</v>
      </c>
    </row>
    <row r="20" spans="1:10" ht="26.25">
      <c r="A20" s="52" t="s">
        <v>590</v>
      </c>
      <c r="B20" s="81" t="s">
        <v>360</v>
      </c>
      <c r="C20" s="67">
        <f>SUM(C21:C40)</f>
        <v>39505000</v>
      </c>
      <c r="D20" s="67">
        <f aca="true" t="shared" si="0" ref="D20:I20">SUM(D21:D40)</f>
        <v>0</v>
      </c>
      <c r="E20" s="67">
        <f t="shared" si="0"/>
        <v>0</v>
      </c>
      <c r="F20" s="67">
        <f t="shared" si="0"/>
        <v>0</v>
      </c>
      <c r="G20" s="67">
        <f t="shared" si="0"/>
        <v>0</v>
      </c>
      <c r="H20" s="67">
        <f t="shared" si="0"/>
        <v>0</v>
      </c>
      <c r="I20" s="67">
        <f t="shared" si="0"/>
        <v>0</v>
      </c>
      <c r="J20" s="91">
        <f aca="true" t="shared" si="1" ref="J20:J61">SUM(C20:I20)</f>
        <v>39505000</v>
      </c>
    </row>
    <row r="21" spans="1:10" ht="20.25" customHeight="1">
      <c r="A21" s="52" t="s">
        <v>591</v>
      </c>
      <c r="B21" s="166" t="s">
        <v>875</v>
      </c>
      <c r="C21" s="166">
        <v>554000</v>
      </c>
      <c r="D21" s="166"/>
      <c r="E21" s="166"/>
      <c r="F21" s="166"/>
      <c r="G21" s="166"/>
      <c r="H21" s="166"/>
      <c r="I21" s="166"/>
      <c r="J21" s="257">
        <f t="shared" si="1"/>
        <v>554000</v>
      </c>
    </row>
    <row r="22" spans="1:10" ht="18.75">
      <c r="A22" s="52" t="s">
        <v>592</v>
      </c>
      <c r="B22" s="145" t="s">
        <v>876</v>
      </c>
      <c r="C22" s="145">
        <v>828000</v>
      </c>
      <c r="D22" s="145"/>
      <c r="E22" s="145"/>
      <c r="F22" s="145"/>
      <c r="G22" s="145"/>
      <c r="H22" s="145"/>
      <c r="I22" s="145"/>
      <c r="J22" s="258">
        <f t="shared" si="1"/>
        <v>828000</v>
      </c>
    </row>
    <row r="23" spans="1:10" ht="18.75">
      <c r="A23" s="52" t="s">
        <v>593</v>
      </c>
      <c r="B23" s="145" t="s">
        <v>877</v>
      </c>
      <c r="C23" s="145">
        <v>717000</v>
      </c>
      <c r="D23" s="145"/>
      <c r="E23" s="145"/>
      <c r="F23" s="145"/>
      <c r="G23" s="145"/>
      <c r="H23" s="145"/>
      <c r="I23" s="145"/>
      <c r="J23" s="258">
        <f t="shared" si="1"/>
        <v>717000</v>
      </c>
    </row>
    <row r="24" spans="1:10" ht="18.75">
      <c r="A24" s="52" t="s">
        <v>594</v>
      </c>
      <c r="B24" s="145" t="s">
        <v>878</v>
      </c>
      <c r="C24" s="145">
        <v>900000</v>
      </c>
      <c r="D24" s="145"/>
      <c r="E24" s="145"/>
      <c r="F24" s="145"/>
      <c r="G24" s="145"/>
      <c r="H24" s="145"/>
      <c r="I24" s="145"/>
      <c r="J24" s="258">
        <f t="shared" si="1"/>
        <v>900000</v>
      </c>
    </row>
    <row r="25" spans="1:10" ht="18.75">
      <c r="A25" s="52" t="s">
        <v>595</v>
      </c>
      <c r="B25" s="145" t="s">
        <v>879</v>
      </c>
      <c r="C25" s="145">
        <v>2350000</v>
      </c>
      <c r="D25" s="145"/>
      <c r="E25" s="145"/>
      <c r="F25" s="145"/>
      <c r="G25" s="145"/>
      <c r="H25" s="145"/>
      <c r="I25" s="145"/>
      <c r="J25" s="258">
        <f t="shared" si="1"/>
        <v>2350000</v>
      </c>
    </row>
    <row r="26" spans="1:10" ht="18.75">
      <c r="A26" s="52" t="s">
        <v>596</v>
      </c>
      <c r="B26" s="453" t="s">
        <v>880</v>
      </c>
      <c r="C26" s="166">
        <v>2015000</v>
      </c>
      <c r="D26" s="145"/>
      <c r="E26" s="145"/>
      <c r="F26" s="145"/>
      <c r="G26" s="145"/>
      <c r="H26" s="145"/>
      <c r="I26" s="145"/>
      <c r="J26" s="258">
        <f t="shared" si="1"/>
        <v>2015000</v>
      </c>
    </row>
    <row r="27" spans="1:10" ht="18.75">
      <c r="A27" s="52" t="s">
        <v>597</v>
      </c>
      <c r="B27" s="453" t="s">
        <v>881</v>
      </c>
      <c r="C27" s="166">
        <v>87000</v>
      </c>
      <c r="D27" s="145"/>
      <c r="E27" s="145"/>
      <c r="F27" s="145"/>
      <c r="G27" s="145"/>
      <c r="H27" s="145"/>
      <c r="I27" s="145"/>
      <c r="J27" s="258">
        <f t="shared" si="1"/>
        <v>87000</v>
      </c>
    </row>
    <row r="28" spans="1:10" ht="18.75">
      <c r="A28" s="52" t="s">
        <v>598</v>
      </c>
      <c r="B28" s="453" t="s">
        <v>882</v>
      </c>
      <c r="C28" s="166">
        <v>36000</v>
      </c>
      <c r="D28" s="145"/>
      <c r="E28" s="145"/>
      <c r="F28" s="145"/>
      <c r="G28" s="145"/>
      <c r="H28" s="145"/>
      <c r="I28" s="145"/>
      <c r="J28" s="258">
        <f t="shared" si="1"/>
        <v>36000</v>
      </c>
    </row>
    <row r="29" spans="1:10" ht="18.75">
      <c r="A29" s="52" t="s">
        <v>599</v>
      </c>
      <c r="B29" s="454" t="s">
        <v>883</v>
      </c>
      <c r="C29" s="166">
        <v>4226000</v>
      </c>
      <c r="D29" s="145"/>
      <c r="E29" s="145"/>
      <c r="F29" s="145"/>
      <c r="G29" s="145"/>
      <c r="H29" s="145"/>
      <c r="I29" s="145"/>
      <c r="J29" s="258">
        <f t="shared" si="1"/>
        <v>4226000</v>
      </c>
    </row>
    <row r="30" spans="1:10" ht="18.75">
      <c r="A30" s="52" t="s">
        <v>600</v>
      </c>
      <c r="B30" s="455" t="s">
        <v>884</v>
      </c>
      <c r="C30" s="166">
        <v>10036000</v>
      </c>
      <c r="D30" s="145"/>
      <c r="E30" s="145"/>
      <c r="F30" s="145"/>
      <c r="G30" s="145"/>
      <c r="H30" s="145"/>
      <c r="I30" s="145"/>
      <c r="J30" s="258">
        <f t="shared" si="1"/>
        <v>10036000</v>
      </c>
    </row>
    <row r="31" spans="1:10" ht="18.75">
      <c r="A31" s="52" t="s">
        <v>601</v>
      </c>
      <c r="B31" s="455" t="s">
        <v>885</v>
      </c>
      <c r="C31" s="166">
        <v>6944000</v>
      </c>
      <c r="D31" s="145"/>
      <c r="E31" s="145"/>
      <c r="F31" s="145"/>
      <c r="G31" s="145"/>
      <c r="H31" s="145"/>
      <c r="I31" s="145"/>
      <c r="J31" s="258">
        <f t="shared" si="1"/>
        <v>6944000</v>
      </c>
    </row>
    <row r="32" spans="1:10" ht="37.5">
      <c r="A32" s="52" t="s">
        <v>602</v>
      </c>
      <c r="B32" s="455" t="s">
        <v>886</v>
      </c>
      <c r="C32" s="166">
        <v>2674000</v>
      </c>
      <c r="D32" s="145"/>
      <c r="E32" s="145"/>
      <c r="F32" s="145"/>
      <c r="G32" s="145"/>
      <c r="H32" s="145"/>
      <c r="I32" s="145"/>
      <c r="J32" s="258">
        <f t="shared" si="1"/>
        <v>2674000</v>
      </c>
    </row>
    <row r="33" spans="1:10" ht="37.5">
      <c r="A33" s="52" t="s">
        <v>603</v>
      </c>
      <c r="B33" s="455" t="s">
        <v>887</v>
      </c>
      <c r="C33" s="166">
        <v>15000</v>
      </c>
      <c r="D33" s="145"/>
      <c r="E33" s="145"/>
      <c r="F33" s="145"/>
      <c r="G33" s="145"/>
      <c r="H33" s="145"/>
      <c r="I33" s="145"/>
      <c r="J33" s="258">
        <f t="shared" si="1"/>
        <v>15000</v>
      </c>
    </row>
    <row r="34" spans="1:10" ht="37.5">
      <c r="A34" s="52" t="s">
        <v>604</v>
      </c>
      <c r="B34" s="455" t="s">
        <v>888</v>
      </c>
      <c r="C34" s="166">
        <v>128000</v>
      </c>
      <c r="D34" s="145"/>
      <c r="E34" s="145"/>
      <c r="F34" s="145"/>
      <c r="G34" s="145"/>
      <c r="H34" s="145"/>
      <c r="I34" s="145"/>
      <c r="J34" s="258">
        <f t="shared" si="1"/>
        <v>128000</v>
      </c>
    </row>
    <row r="35" spans="1:10" ht="37.5">
      <c r="A35" s="52" t="s">
        <v>605</v>
      </c>
      <c r="B35" s="455" t="s">
        <v>889</v>
      </c>
      <c r="C35" s="166">
        <v>1793000</v>
      </c>
      <c r="D35" s="145"/>
      <c r="E35" s="145"/>
      <c r="F35" s="145"/>
      <c r="G35" s="145"/>
      <c r="H35" s="145"/>
      <c r="I35" s="145"/>
      <c r="J35" s="258">
        <f t="shared" si="1"/>
        <v>1793000</v>
      </c>
    </row>
    <row r="36" spans="1:10" ht="18.75">
      <c r="A36" s="52" t="s">
        <v>606</v>
      </c>
      <c r="B36" s="455" t="s">
        <v>890</v>
      </c>
      <c r="C36" s="166">
        <v>2055000</v>
      </c>
      <c r="D36" s="145"/>
      <c r="E36" s="145"/>
      <c r="F36" s="145"/>
      <c r="G36" s="145"/>
      <c r="H36" s="145"/>
      <c r="I36" s="145"/>
      <c r="J36" s="258">
        <f t="shared" si="1"/>
        <v>2055000</v>
      </c>
    </row>
    <row r="37" spans="1:10" ht="18.75">
      <c r="A37" s="52" t="s">
        <v>607</v>
      </c>
      <c r="B37" s="455" t="s">
        <v>891</v>
      </c>
      <c r="C37" s="166">
        <v>4147000</v>
      </c>
      <c r="D37" s="145"/>
      <c r="E37" s="145"/>
      <c r="F37" s="145"/>
      <c r="G37" s="145"/>
      <c r="H37" s="145"/>
      <c r="I37" s="145"/>
      <c r="J37" s="258">
        <f t="shared" si="1"/>
        <v>4147000</v>
      </c>
    </row>
    <row r="38" spans="1:10" ht="18.75">
      <c r="A38" s="52" t="s">
        <v>608</v>
      </c>
      <c r="B38" s="460"/>
      <c r="C38" s="166"/>
      <c r="D38" s="145"/>
      <c r="E38" s="145"/>
      <c r="F38" s="145"/>
      <c r="G38" s="145"/>
      <c r="H38" s="145"/>
      <c r="I38" s="145"/>
      <c r="J38" s="258">
        <f t="shared" si="1"/>
        <v>0</v>
      </c>
    </row>
    <row r="39" spans="1:10" ht="18.75">
      <c r="A39" s="52" t="s">
        <v>609</v>
      </c>
      <c r="B39" s="460"/>
      <c r="C39" s="166"/>
      <c r="D39" s="145"/>
      <c r="E39" s="145"/>
      <c r="F39" s="145"/>
      <c r="G39" s="145"/>
      <c r="H39" s="145"/>
      <c r="I39" s="145"/>
      <c r="J39" s="258">
        <f t="shared" si="1"/>
        <v>0</v>
      </c>
    </row>
    <row r="40" spans="1:10" ht="18.75">
      <c r="A40" s="52" t="s">
        <v>610</v>
      </c>
      <c r="B40" s="143"/>
      <c r="C40" s="166"/>
      <c r="D40" s="143"/>
      <c r="E40" s="143"/>
      <c r="F40" s="143"/>
      <c r="G40" s="143"/>
      <c r="H40" s="143"/>
      <c r="I40" s="143"/>
      <c r="J40" s="259">
        <f t="shared" si="1"/>
        <v>0</v>
      </c>
    </row>
    <row r="41" spans="1:10" ht="26.25">
      <c r="A41" s="52" t="s">
        <v>611</v>
      </c>
      <c r="B41" s="82" t="s">
        <v>366</v>
      </c>
      <c r="C41" s="83">
        <f>SUM(C42:C61)</f>
        <v>12780000</v>
      </c>
      <c r="D41" s="83">
        <f aca="true" t="shared" si="2" ref="D41:I41">SUM(D42:D61)</f>
        <v>0</v>
      </c>
      <c r="E41" s="83">
        <f t="shared" si="2"/>
        <v>0</v>
      </c>
      <c r="F41" s="83">
        <f t="shared" si="2"/>
        <v>0</v>
      </c>
      <c r="G41" s="83">
        <f t="shared" si="2"/>
        <v>0</v>
      </c>
      <c r="H41" s="83">
        <f t="shared" si="2"/>
        <v>0</v>
      </c>
      <c r="I41" s="83">
        <f t="shared" si="2"/>
        <v>0</v>
      </c>
      <c r="J41" s="83">
        <f t="shared" si="1"/>
        <v>12780000</v>
      </c>
    </row>
    <row r="42" spans="1:10" ht="18.75">
      <c r="A42" s="52" t="s">
        <v>612</v>
      </c>
      <c r="B42" s="452" t="s">
        <v>892</v>
      </c>
      <c r="C42" s="166">
        <v>106000</v>
      </c>
      <c r="D42" s="166"/>
      <c r="E42" s="166"/>
      <c r="F42" s="166"/>
      <c r="G42" s="166"/>
      <c r="H42" s="166"/>
      <c r="I42" s="166"/>
      <c r="J42" s="257">
        <f t="shared" si="1"/>
        <v>106000</v>
      </c>
    </row>
    <row r="43" spans="1:10" ht="18.75">
      <c r="A43" s="52" t="s">
        <v>613</v>
      </c>
      <c r="B43" s="453" t="s">
        <v>893</v>
      </c>
      <c r="C43" s="166">
        <v>1446000</v>
      </c>
      <c r="D43" s="145"/>
      <c r="E43" s="145"/>
      <c r="F43" s="145"/>
      <c r="G43" s="145"/>
      <c r="H43" s="145"/>
      <c r="I43" s="145"/>
      <c r="J43" s="258">
        <f t="shared" si="1"/>
        <v>1446000</v>
      </c>
    </row>
    <row r="44" spans="1:10" ht="18.75">
      <c r="A44" s="52" t="s">
        <v>614</v>
      </c>
      <c r="B44" s="453" t="s">
        <v>894</v>
      </c>
      <c r="C44" s="166">
        <v>119000</v>
      </c>
      <c r="D44" s="145"/>
      <c r="E44" s="145"/>
      <c r="F44" s="145"/>
      <c r="G44" s="145"/>
      <c r="H44" s="145"/>
      <c r="I44" s="145"/>
      <c r="J44" s="258">
        <f t="shared" si="1"/>
        <v>119000</v>
      </c>
    </row>
    <row r="45" spans="1:10" ht="37.5">
      <c r="A45" s="52" t="s">
        <v>615</v>
      </c>
      <c r="B45" s="453" t="s">
        <v>895</v>
      </c>
      <c r="C45" s="166">
        <v>105000</v>
      </c>
      <c r="D45" s="145"/>
      <c r="E45" s="145"/>
      <c r="F45" s="145"/>
      <c r="G45" s="145"/>
      <c r="H45" s="145"/>
      <c r="I45" s="145"/>
      <c r="J45" s="258">
        <f t="shared" si="1"/>
        <v>105000</v>
      </c>
    </row>
    <row r="46" spans="1:10" ht="18.75">
      <c r="A46" s="52" t="s">
        <v>616</v>
      </c>
      <c r="B46" s="453" t="s">
        <v>896</v>
      </c>
      <c r="C46" s="166">
        <v>300000</v>
      </c>
      <c r="D46" s="145"/>
      <c r="E46" s="145"/>
      <c r="F46" s="145"/>
      <c r="G46" s="145"/>
      <c r="H46" s="145"/>
      <c r="I46" s="145"/>
      <c r="J46" s="258">
        <f t="shared" si="1"/>
        <v>300000</v>
      </c>
    </row>
    <row r="47" spans="1:10" ht="37.5">
      <c r="A47" s="52" t="s">
        <v>617</v>
      </c>
      <c r="B47" s="453" t="s">
        <v>897</v>
      </c>
      <c r="C47" s="166">
        <v>1000</v>
      </c>
      <c r="D47" s="145"/>
      <c r="E47" s="145"/>
      <c r="F47" s="145"/>
      <c r="G47" s="145"/>
      <c r="H47" s="145"/>
      <c r="I47" s="145"/>
      <c r="J47" s="258">
        <f t="shared" si="1"/>
        <v>1000</v>
      </c>
    </row>
    <row r="48" spans="1:10" ht="37.5">
      <c r="A48" s="52" t="s">
        <v>618</v>
      </c>
      <c r="B48" s="453" t="s">
        <v>898</v>
      </c>
      <c r="C48" s="166">
        <v>240000</v>
      </c>
      <c r="D48" s="145"/>
      <c r="E48" s="145"/>
      <c r="F48" s="145"/>
      <c r="G48" s="145"/>
      <c r="H48" s="145"/>
      <c r="I48" s="145"/>
      <c r="J48" s="258">
        <f t="shared" si="1"/>
        <v>240000</v>
      </c>
    </row>
    <row r="49" spans="1:10" ht="37.5">
      <c r="A49" s="52" t="s">
        <v>619</v>
      </c>
      <c r="B49" s="453" t="s">
        <v>899</v>
      </c>
      <c r="C49" s="166">
        <v>258000</v>
      </c>
      <c r="D49" s="145"/>
      <c r="E49" s="145"/>
      <c r="F49" s="145"/>
      <c r="G49" s="145"/>
      <c r="H49" s="145"/>
      <c r="I49" s="145"/>
      <c r="J49" s="258">
        <f t="shared" si="1"/>
        <v>258000</v>
      </c>
    </row>
    <row r="50" spans="1:10" ht="18.75">
      <c r="A50" s="52" t="s">
        <v>620</v>
      </c>
      <c r="B50" s="453" t="s">
        <v>900</v>
      </c>
      <c r="C50" s="166">
        <v>131000</v>
      </c>
      <c r="D50" s="145"/>
      <c r="E50" s="145"/>
      <c r="F50" s="145"/>
      <c r="G50" s="145"/>
      <c r="H50" s="145"/>
      <c r="I50" s="145"/>
      <c r="J50" s="258">
        <f t="shared" si="1"/>
        <v>131000</v>
      </c>
    </row>
    <row r="51" spans="1:10" ht="18.75">
      <c r="A51" s="52" t="s">
        <v>621</v>
      </c>
      <c r="B51" s="453" t="s">
        <v>901</v>
      </c>
      <c r="C51" s="166">
        <v>288000</v>
      </c>
      <c r="D51" s="145"/>
      <c r="E51" s="145"/>
      <c r="F51" s="145"/>
      <c r="G51" s="145"/>
      <c r="H51" s="145"/>
      <c r="I51" s="145"/>
      <c r="J51" s="258">
        <f t="shared" si="1"/>
        <v>288000</v>
      </c>
    </row>
    <row r="52" spans="1:10" ht="18.75">
      <c r="A52" s="52" t="s">
        <v>622</v>
      </c>
      <c r="B52" s="453" t="s">
        <v>902</v>
      </c>
      <c r="C52" s="166">
        <v>587000</v>
      </c>
      <c r="D52" s="145"/>
      <c r="E52" s="145"/>
      <c r="F52" s="145"/>
      <c r="G52" s="145"/>
      <c r="H52" s="145"/>
      <c r="I52" s="145"/>
      <c r="J52" s="258">
        <f t="shared" si="1"/>
        <v>587000</v>
      </c>
    </row>
    <row r="53" spans="1:10" ht="18.75">
      <c r="A53" s="52" t="s">
        <v>623</v>
      </c>
      <c r="B53" s="453" t="s">
        <v>903</v>
      </c>
      <c r="C53" s="166">
        <v>39000</v>
      </c>
      <c r="D53" s="145"/>
      <c r="E53" s="145"/>
      <c r="F53" s="145"/>
      <c r="G53" s="145"/>
      <c r="H53" s="145"/>
      <c r="I53" s="145"/>
      <c r="J53" s="258">
        <f t="shared" si="1"/>
        <v>39000</v>
      </c>
    </row>
    <row r="54" spans="1:10" ht="18.75">
      <c r="A54" s="52" t="s">
        <v>624</v>
      </c>
      <c r="B54" s="453" t="s">
        <v>904</v>
      </c>
      <c r="C54" s="166">
        <v>4784000</v>
      </c>
      <c r="D54" s="145"/>
      <c r="E54" s="145"/>
      <c r="F54" s="145"/>
      <c r="G54" s="145"/>
      <c r="H54" s="145"/>
      <c r="I54" s="145"/>
      <c r="J54" s="258">
        <f t="shared" si="1"/>
        <v>4784000</v>
      </c>
    </row>
    <row r="55" spans="1:10" ht="18.75">
      <c r="A55" s="52" t="s">
        <v>625</v>
      </c>
      <c r="B55" s="453" t="s">
        <v>905</v>
      </c>
      <c r="C55" s="166">
        <v>877000</v>
      </c>
      <c r="D55" s="145"/>
      <c r="E55" s="145"/>
      <c r="F55" s="145"/>
      <c r="G55" s="145"/>
      <c r="H55" s="145"/>
      <c r="I55" s="145"/>
      <c r="J55" s="258">
        <f t="shared" si="1"/>
        <v>877000</v>
      </c>
    </row>
    <row r="56" spans="1:10" ht="18.75">
      <c r="A56" s="52" t="s">
        <v>626</v>
      </c>
      <c r="B56" s="453" t="s">
        <v>906</v>
      </c>
      <c r="C56" s="166">
        <v>105000</v>
      </c>
      <c r="D56" s="145"/>
      <c r="E56" s="145"/>
      <c r="F56" s="145"/>
      <c r="G56" s="145"/>
      <c r="H56" s="145"/>
      <c r="I56" s="145"/>
      <c r="J56" s="258">
        <f t="shared" si="1"/>
        <v>105000</v>
      </c>
    </row>
    <row r="57" spans="1:10" ht="37.5">
      <c r="A57" s="52" t="s">
        <v>627</v>
      </c>
      <c r="B57" s="453" t="s">
        <v>907</v>
      </c>
      <c r="C57" s="166">
        <v>610000</v>
      </c>
      <c r="D57" s="145"/>
      <c r="E57" s="145"/>
      <c r="F57" s="145"/>
      <c r="G57" s="145"/>
      <c r="H57" s="145"/>
      <c r="I57" s="145"/>
      <c r="J57" s="258">
        <f t="shared" si="1"/>
        <v>610000</v>
      </c>
    </row>
    <row r="58" spans="1:10" ht="37.5">
      <c r="A58" s="52" t="s">
        <v>628</v>
      </c>
      <c r="B58" s="453" t="s">
        <v>908</v>
      </c>
      <c r="C58" s="166">
        <v>270000</v>
      </c>
      <c r="D58" s="145"/>
      <c r="E58" s="145"/>
      <c r="F58" s="145"/>
      <c r="G58" s="145"/>
      <c r="H58" s="145"/>
      <c r="I58" s="145"/>
      <c r="J58" s="258">
        <f t="shared" si="1"/>
        <v>270000</v>
      </c>
    </row>
    <row r="59" spans="1:10" ht="18.75">
      <c r="A59" s="52" t="s">
        <v>629</v>
      </c>
      <c r="B59" s="453" t="s">
        <v>909</v>
      </c>
      <c r="C59" s="166">
        <v>7000</v>
      </c>
      <c r="D59" s="145"/>
      <c r="E59" s="145"/>
      <c r="F59" s="145"/>
      <c r="G59" s="145"/>
      <c r="H59" s="145"/>
      <c r="I59" s="145"/>
      <c r="J59" s="258">
        <f t="shared" si="1"/>
        <v>7000</v>
      </c>
    </row>
    <row r="60" spans="1:10" ht="18.75">
      <c r="A60" s="52" t="s">
        <v>630</v>
      </c>
      <c r="B60" s="453" t="s">
        <v>910</v>
      </c>
      <c r="C60" s="166">
        <v>243000</v>
      </c>
      <c r="D60" s="145"/>
      <c r="E60" s="145"/>
      <c r="F60" s="145"/>
      <c r="G60" s="145"/>
      <c r="H60" s="145"/>
      <c r="I60" s="145"/>
      <c r="J60" s="258">
        <f t="shared" si="1"/>
        <v>243000</v>
      </c>
    </row>
    <row r="61" spans="1:10" ht="18.75">
      <c r="A61" s="52" t="s">
        <v>631</v>
      </c>
      <c r="B61" s="456" t="s">
        <v>921</v>
      </c>
      <c r="C61" s="166">
        <v>2264000</v>
      </c>
      <c r="D61" s="143"/>
      <c r="E61" s="143"/>
      <c r="F61" s="143"/>
      <c r="G61" s="143"/>
      <c r="H61" s="143"/>
      <c r="I61" s="143"/>
      <c r="J61" s="259">
        <f t="shared" si="1"/>
        <v>2264000</v>
      </c>
    </row>
    <row r="62" spans="1:10" ht="26.25">
      <c r="A62" s="52" t="s">
        <v>632</v>
      </c>
      <c r="B62" s="82" t="s">
        <v>368</v>
      </c>
      <c r="C62" s="83">
        <f>SUM(C63:C82)</f>
        <v>400000</v>
      </c>
      <c r="D62" s="83">
        <f aca="true" t="shared" si="3" ref="D62:I62">SUM(D63:D82)</f>
        <v>0</v>
      </c>
      <c r="E62" s="83">
        <f t="shared" si="3"/>
        <v>0</v>
      </c>
      <c r="F62" s="83">
        <f t="shared" si="3"/>
        <v>0</v>
      </c>
      <c r="G62" s="83">
        <f t="shared" si="3"/>
        <v>0</v>
      </c>
      <c r="H62" s="83">
        <f t="shared" si="3"/>
        <v>0</v>
      </c>
      <c r="I62" s="83">
        <f t="shared" si="3"/>
        <v>0</v>
      </c>
      <c r="J62" s="83">
        <f aca="true" t="shared" si="4" ref="J62:J82">SUM(C62:I62)</f>
        <v>400000</v>
      </c>
    </row>
    <row r="63" spans="1:10" ht="37.5">
      <c r="A63" s="52" t="s">
        <v>633</v>
      </c>
      <c r="B63" s="452" t="s">
        <v>911</v>
      </c>
      <c r="C63" s="166">
        <v>1000</v>
      </c>
      <c r="D63" s="166"/>
      <c r="E63" s="166"/>
      <c r="F63" s="166"/>
      <c r="G63" s="166"/>
      <c r="H63" s="166"/>
      <c r="I63" s="166"/>
      <c r="J63" s="257">
        <f t="shared" si="4"/>
        <v>1000</v>
      </c>
    </row>
    <row r="64" spans="1:10" ht="37.5">
      <c r="A64" s="52" t="s">
        <v>634</v>
      </c>
      <c r="B64" s="453" t="s">
        <v>912</v>
      </c>
      <c r="C64" s="166">
        <v>133000</v>
      </c>
      <c r="D64" s="145"/>
      <c r="E64" s="145"/>
      <c r="F64" s="145"/>
      <c r="G64" s="145"/>
      <c r="H64" s="145"/>
      <c r="I64" s="145"/>
      <c r="J64" s="258">
        <f t="shared" si="4"/>
        <v>133000</v>
      </c>
    </row>
    <row r="65" spans="1:10" ht="37.5">
      <c r="A65" s="52" t="s">
        <v>635</v>
      </c>
      <c r="B65" s="453" t="s">
        <v>913</v>
      </c>
      <c r="C65" s="166">
        <v>5000</v>
      </c>
      <c r="D65" s="145"/>
      <c r="E65" s="145"/>
      <c r="F65" s="145"/>
      <c r="G65" s="145"/>
      <c r="H65" s="145"/>
      <c r="I65" s="145"/>
      <c r="J65" s="258">
        <f t="shared" si="4"/>
        <v>5000</v>
      </c>
    </row>
    <row r="66" spans="1:10" ht="37.5">
      <c r="A66" s="52" t="s">
        <v>636</v>
      </c>
      <c r="B66" s="453" t="s">
        <v>914</v>
      </c>
      <c r="C66" s="166">
        <v>261000</v>
      </c>
      <c r="D66" s="145"/>
      <c r="E66" s="145"/>
      <c r="F66" s="145"/>
      <c r="G66" s="145"/>
      <c r="H66" s="145"/>
      <c r="I66" s="145"/>
      <c r="J66" s="258">
        <f t="shared" si="4"/>
        <v>261000</v>
      </c>
    </row>
    <row r="67" spans="1:10" ht="18.75">
      <c r="A67" s="52" t="s">
        <v>637</v>
      </c>
      <c r="B67" s="145"/>
      <c r="C67" s="145"/>
      <c r="D67" s="145"/>
      <c r="E67" s="145"/>
      <c r="F67" s="145"/>
      <c r="G67" s="145"/>
      <c r="H67" s="145"/>
      <c r="I67" s="145"/>
      <c r="J67" s="258">
        <f t="shared" si="4"/>
        <v>0</v>
      </c>
    </row>
    <row r="68" spans="1:10" ht="18.75">
      <c r="A68" s="52" t="s">
        <v>638</v>
      </c>
      <c r="B68" s="145"/>
      <c r="C68" s="145"/>
      <c r="D68" s="145"/>
      <c r="E68" s="145"/>
      <c r="F68" s="145"/>
      <c r="G68" s="145"/>
      <c r="H68" s="145"/>
      <c r="I68" s="145"/>
      <c r="J68" s="258">
        <f t="shared" si="4"/>
        <v>0</v>
      </c>
    </row>
    <row r="69" spans="1:10" ht="18.75">
      <c r="A69" s="52" t="s">
        <v>639</v>
      </c>
      <c r="B69" s="145"/>
      <c r="C69" s="145"/>
      <c r="D69" s="145"/>
      <c r="E69" s="145"/>
      <c r="F69" s="145"/>
      <c r="G69" s="145"/>
      <c r="H69" s="145"/>
      <c r="I69" s="145"/>
      <c r="J69" s="258">
        <f t="shared" si="4"/>
        <v>0</v>
      </c>
    </row>
    <row r="70" spans="1:10" ht="18.75">
      <c r="A70" s="52" t="s">
        <v>640</v>
      </c>
      <c r="B70" s="145"/>
      <c r="C70" s="145"/>
      <c r="D70" s="145"/>
      <c r="E70" s="145"/>
      <c r="F70" s="145"/>
      <c r="G70" s="145"/>
      <c r="H70" s="145"/>
      <c r="I70" s="145"/>
      <c r="J70" s="258">
        <f t="shared" si="4"/>
        <v>0</v>
      </c>
    </row>
    <row r="71" spans="1:10" ht="18.75">
      <c r="A71" s="52" t="s">
        <v>641</v>
      </c>
      <c r="B71" s="145"/>
      <c r="C71" s="145"/>
      <c r="D71" s="145"/>
      <c r="E71" s="145"/>
      <c r="F71" s="145"/>
      <c r="G71" s="145"/>
      <c r="H71" s="145"/>
      <c r="I71" s="145"/>
      <c r="J71" s="258">
        <f t="shared" si="4"/>
        <v>0</v>
      </c>
    </row>
    <row r="72" spans="1:10" ht="18.75">
      <c r="A72" s="52" t="s">
        <v>642</v>
      </c>
      <c r="B72" s="145"/>
      <c r="C72" s="145"/>
      <c r="D72" s="145"/>
      <c r="E72" s="145"/>
      <c r="F72" s="145"/>
      <c r="G72" s="145"/>
      <c r="H72" s="145"/>
      <c r="I72" s="145"/>
      <c r="J72" s="258">
        <f t="shared" si="4"/>
        <v>0</v>
      </c>
    </row>
    <row r="73" spans="1:10" ht="18.75">
      <c r="A73" s="52" t="s">
        <v>643</v>
      </c>
      <c r="B73" s="145"/>
      <c r="C73" s="145"/>
      <c r="D73" s="145"/>
      <c r="E73" s="145"/>
      <c r="F73" s="145"/>
      <c r="G73" s="145"/>
      <c r="H73" s="145"/>
      <c r="I73" s="145"/>
      <c r="J73" s="258">
        <f t="shared" si="4"/>
        <v>0</v>
      </c>
    </row>
    <row r="74" spans="1:10" ht="18.75">
      <c r="A74" s="52" t="s">
        <v>644</v>
      </c>
      <c r="B74" s="145"/>
      <c r="C74" s="145"/>
      <c r="D74" s="145"/>
      <c r="E74" s="145"/>
      <c r="F74" s="145"/>
      <c r="G74" s="145"/>
      <c r="H74" s="145"/>
      <c r="I74" s="145"/>
      <c r="J74" s="258">
        <f t="shared" si="4"/>
        <v>0</v>
      </c>
    </row>
    <row r="75" spans="1:10" ht="18.75">
      <c r="A75" s="52" t="s">
        <v>645</v>
      </c>
      <c r="B75" s="145"/>
      <c r="C75" s="145"/>
      <c r="D75" s="145"/>
      <c r="E75" s="145"/>
      <c r="F75" s="145"/>
      <c r="G75" s="145"/>
      <c r="H75" s="145"/>
      <c r="I75" s="145"/>
      <c r="J75" s="258">
        <f t="shared" si="4"/>
        <v>0</v>
      </c>
    </row>
    <row r="76" spans="1:10" ht="18.75">
      <c r="A76" s="52" t="s">
        <v>646</v>
      </c>
      <c r="B76" s="145"/>
      <c r="C76" s="145"/>
      <c r="D76" s="145"/>
      <c r="E76" s="145"/>
      <c r="F76" s="145"/>
      <c r="G76" s="145"/>
      <c r="H76" s="145"/>
      <c r="I76" s="145"/>
      <c r="J76" s="258">
        <f t="shared" si="4"/>
        <v>0</v>
      </c>
    </row>
    <row r="77" spans="1:10" ht="18.75">
      <c r="A77" s="52" t="s">
        <v>647</v>
      </c>
      <c r="B77" s="145"/>
      <c r="C77" s="145"/>
      <c r="D77" s="145"/>
      <c r="E77" s="145"/>
      <c r="F77" s="145"/>
      <c r="G77" s="145"/>
      <c r="H77" s="145"/>
      <c r="I77" s="145"/>
      <c r="J77" s="258">
        <f t="shared" si="4"/>
        <v>0</v>
      </c>
    </row>
    <row r="78" spans="1:10" ht="18.75">
      <c r="A78" s="52" t="s">
        <v>648</v>
      </c>
      <c r="B78" s="145"/>
      <c r="C78" s="145"/>
      <c r="D78" s="145"/>
      <c r="E78" s="145"/>
      <c r="F78" s="145"/>
      <c r="G78" s="145"/>
      <c r="H78" s="145"/>
      <c r="I78" s="145"/>
      <c r="J78" s="258">
        <f t="shared" si="4"/>
        <v>0</v>
      </c>
    </row>
    <row r="79" spans="1:10" ht="18.75">
      <c r="A79" s="52" t="s">
        <v>649</v>
      </c>
      <c r="B79" s="145"/>
      <c r="C79" s="145"/>
      <c r="D79" s="145"/>
      <c r="E79" s="145"/>
      <c r="F79" s="145"/>
      <c r="G79" s="145"/>
      <c r="H79" s="145"/>
      <c r="I79" s="145"/>
      <c r="J79" s="258">
        <f t="shared" si="4"/>
        <v>0</v>
      </c>
    </row>
    <row r="80" spans="1:10" ht="18.75">
      <c r="A80" s="52" t="s">
        <v>650</v>
      </c>
      <c r="B80" s="145"/>
      <c r="C80" s="145"/>
      <c r="D80" s="145"/>
      <c r="E80" s="145"/>
      <c r="F80" s="145"/>
      <c r="G80" s="145"/>
      <c r="H80" s="145"/>
      <c r="I80" s="145"/>
      <c r="J80" s="258">
        <f t="shared" si="4"/>
        <v>0</v>
      </c>
    </row>
    <row r="81" spans="1:10" ht="18.75">
      <c r="A81" s="52" t="s">
        <v>651</v>
      </c>
      <c r="B81" s="145"/>
      <c r="C81" s="145"/>
      <c r="D81" s="145"/>
      <c r="E81" s="145"/>
      <c r="F81" s="145"/>
      <c r="G81" s="145"/>
      <c r="H81" s="145"/>
      <c r="I81" s="145"/>
      <c r="J81" s="258">
        <f t="shared" si="4"/>
        <v>0</v>
      </c>
    </row>
    <row r="82" spans="1:10" ht="18.75">
      <c r="A82" s="52" t="s">
        <v>652</v>
      </c>
      <c r="B82" s="164"/>
      <c r="C82" s="164"/>
      <c r="D82" s="164"/>
      <c r="E82" s="164"/>
      <c r="F82" s="164"/>
      <c r="G82" s="164"/>
      <c r="H82" s="164"/>
      <c r="I82" s="164"/>
      <c r="J82" s="260">
        <f t="shared" si="4"/>
        <v>0</v>
      </c>
    </row>
    <row r="83" spans="1:10" ht="26.25">
      <c r="A83" s="52" t="s">
        <v>653</v>
      </c>
      <c r="B83" s="71" t="s">
        <v>654</v>
      </c>
      <c r="C83" s="90" t="str">
        <f>C$19</f>
        <v>702</v>
      </c>
      <c r="D83" s="90">
        <f aca="true" t="shared" si="5" ref="D83:I83">D$19</f>
      </c>
      <c r="E83" s="90">
        <f t="shared" si="5"/>
      </c>
      <c r="F83" s="90">
        <f t="shared" si="5"/>
      </c>
      <c r="G83" s="90">
        <f t="shared" si="5"/>
      </c>
      <c r="H83" s="90">
        <f t="shared" si="5"/>
      </c>
      <c r="I83" s="90">
        <f t="shared" si="5"/>
      </c>
      <c r="J83" s="71" t="s">
        <v>655</v>
      </c>
    </row>
    <row r="84" spans="1:10" ht="26.25">
      <c r="A84" s="52" t="s">
        <v>656</v>
      </c>
      <c r="B84" s="82" t="s">
        <v>657</v>
      </c>
      <c r="C84" s="83">
        <f>SUM(C85:C104)</f>
        <v>76581000</v>
      </c>
      <c r="D84" s="83">
        <f aca="true" t="shared" si="6" ref="D84:I84">SUM(D85:D104)</f>
        <v>0</v>
      </c>
      <c r="E84" s="83">
        <f t="shared" si="6"/>
        <v>0</v>
      </c>
      <c r="F84" s="83">
        <f t="shared" si="6"/>
        <v>0</v>
      </c>
      <c r="G84" s="83">
        <f t="shared" si="6"/>
        <v>0</v>
      </c>
      <c r="H84" s="83">
        <f t="shared" si="6"/>
        <v>0</v>
      </c>
      <c r="I84" s="83">
        <f t="shared" si="6"/>
        <v>0</v>
      </c>
      <c r="J84" s="83">
        <f aca="true" t="shared" si="7" ref="J84:J105">SUM(C84:I84)</f>
        <v>76581000</v>
      </c>
    </row>
    <row r="85" spans="1:10" ht="18.75">
      <c r="A85" s="52" t="s">
        <v>658</v>
      </c>
      <c r="B85" s="457" t="s">
        <v>925</v>
      </c>
      <c r="C85" s="166">
        <v>13713000</v>
      </c>
      <c r="D85" s="166"/>
      <c r="E85" s="166"/>
      <c r="F85" s="166"/>
      <c r="G85" s="166"/>
      <c r="H85" s="166"/>
      <c r="I85" s="166"/>
      <c r="J85" s="257">
        <f t="shared" si="7"/>
        <v>13713000</v>
      </c>
    </row>
    <row r="86" spans="1:10" ht="18.75">
      <c r="A86" s="52" t="s">
        <v>659</v>
      </c>
      <c r="B86" s="455" t="s">
        <v>926</v>
      </c>
      <c r="C86" s="166">
        <v>18967000</v>
      </c>
      <c r="D86" s="145"/>
      <c r="E86" s="145"/>
      <c r="F86" s="145"/>
      <c r="G86" s="145"/>
      <c r="H86" s="145"/>
      <c r="I86" s="145"/>
      <c r="J86" s="258">
        <f t="shared" si="7"/>
        <v>18967000</v>
      </c>
    </row>
    <row r="87" spans="1:10" ht="18.75">
      <c r="A87" s="52" t="s">
        <v>660</v>
      </c>
      <c r="B87" s="455" t="s">
        <v>915</v>
      </c>
      <c r="C87" s="166">
        <v>1109000</v>
      </c>
      <c r="D87" s="145"/>
      <c r="E87" s="145"/>
      <c r="F87" s="145"/>
      <c r="G87" s="145"/>
      <c r="H87" s="145"/>
      <c r="I87" s="145"/>
      <c r="J87" s="258">
        <f t="shared" si="7"/>
        <v>1109000</v>
      </c>
    </row>
    <row r="88" spans="1:10" ht="18.75">
      <c r="A88" s="52" t="s">
        <v>661</v>
      </c>
      <c r="B88" s="455" t="s">
        <v>916</v>
      </c>
      <c r="C88" s="166">
        <v>1947000</v>
      </c>
      <c r="D88" s="145"/>
      <c r="E88" s="145"/>
      <c r="F88" s="145"/>
      <c r="G88" s="145"/>
      <c r="H88" s="145"/>
      <c r="I88" s="145"/>
      <c r="J88" s="258">
        <f t="shared" si="7"/>
        <v>1947000</v>
      </c>
    </row>
    <row r="89" spans="1:10" ht="37.5">
      <c r="A89" s="52" t="s">
        <v>662</v>
      </c>
      <c r="B89" s="458" t="s">
        <v>917</v>
      </c>
      <c r="C89" s="166">
        <v>792000</v>
      </c>
      <c r="D89" s="145"/>
      <c r="E89" s="145"/>
      <c r="F89" s="145"/>
      <c r="G89" s="145"/>
      <c r="H89" s="145"/>
      <c r="I89" s="145"/>
      <c r="J89" s="258">
        <f t="shared" si="7"/>
        <v>792000</v>
      </c>
    </row>
    <row r="90" spans="1:10" ht="37.5">
      <c r="A90" s="52" t="s">
        <v>663</v>
      </c>
      <c r="B90" s="455" t="s">
        <v>918</v>
      </c>
      <c r="C90" s="166">
        <v>7783000</v>
      </c>
      <c r="D90" s="145"/>
      <c r="E90" s="145"/>
      <c r="F90" s="145"/>
      <c r="G90" s="145"/>
      <c r="H90" s="145"/>
      <c r="I90" s="145"/>
      <c r="J90" s="258">
        <f t="shared" si="7"/>
        <v>7783000</v>
      </c>
    </row>
    <row r="91" spans="1:10" ht="18.75">
      <c r="A91" s="52" t="s">
        <v>664</v>
      </c>
      <c r="B91" s="455" t="s">
        <v>919</v>
      </c>
      <c r="C91" s="166">
        <v>459000</v>
      </c>
      <c r="D91" s="145"/>
      <c r="E91" s="145"/>
      <c r="F91" s="145"/>
      <c r="G91" s="145"/>
      <c r="H91" s="145"/>
      <c r="I91" s="145"/>
      <c r="J91" s="258">
        <f t="shared" si="7"/>
        <v>459000</v>
      </c>
    </row>
    <row r="92" spans="1:10" ht="18.75">
      <c r="A92" s="52" t="s">
        <v>665</v>
      </c>
      <c r="B92" s="458" t="s">
        <v>920</v>
      </c>
      <c r="C92" s="166">
        <v>1269000</v>
      </c>
      <c r="D92" s="145"/>
      <c r="E92" s="145"/>
      <c r="F92" s="145"/>
      <c r="G92" s="145"/>
      <c r="H92" s="145"/>
      <c r="I92" s="145"/>
      <c r="J92" s="258">
        <f t="shared" si="7"/>
        <v>1269000</v>
      </c>
    </row>
    <row r="93" spans="1:10" ht="18.75">
      <c r="A93" s="52" t="s">
        <v>666</v>
      </c>
      <c r="B93" s="460" t="s">
        <v>923</v>
      </c>
      <c r="C93" s="166">
        <v>3999000</v>
      </c>
      <c r="D93" s="145"/>
      <c r="E93" s="145"/>
      <c r="F93" s="145"/>
      <c r="G93" s="145"/>
      <c r="H93" s="145"/>
      <c r="I93" s="145"/>
      <c r="J93" s="258">
        <f t="shared" si="7"/>
        <v>3999000</v>
      </c>
    </row>
    <row r="94" spans="1:10" ht="18.75">
      <c r="A94" s="52" t="s">
        <v>667</v>
      </c>
      <c r="B94" s="460" t="s">
        <v>924</v>
      </c>
      <c r="C94" s="166">
        <v>291000</v>
      </c>
      <c r="D94" s="145"/>
      <c r="E94" s="145"/>
      <c r="F94" s="145"/>
      <c r="G94" s="145"/>
      <c r="H94" s="145"/>
      <c r="I94" s="145"/>
      <c r="J94" s="258">
        <f t="shared" si="7"/>
        <v>291000</v>
      </c>
    </row>
    <row r="95" spans="1:10" ht="37.5">
      <c r="A95" s="52" t="s">
        <v>668</v>
      </c>
      <c r="B95" s="455" t="s">
        <v>927</v>
      </c>
      <c r="C95" s="166">
        <v>1150000</v>
      </c>
      <c r="D95" s="145"/>
      <c r="E95" s="145"/>
      <c r="F95" s="145"/>
      <c r="G95" s="145"/>
      <c r="H95" s="145"/>
      <c r="I95" s="145"/>
      <c r="J95" s="258">
        <f t="shared" si="7"/>
        <v>1150000</v>
      </c>
    </row>
    <row r="96" spans="1:10" ht="37.5">
      <c r="A96" s="52" t="s">
        <v>669</v>
      </c>
      <c r="B96" s="455" t="s">
        <v>928</v>
      </c>
      <c r="C96" s="166">
        <v>850000</v>
      </c>
      <c r="D96" s="145"/>
      <c r="E96" s="145"/>
      <c r="F96" s="145"/>
      <c r="G96" s="145"/>
      <c r="H96" s="145"/>
      <c r="I96" s="145"/>
      <c r="J96" s="258">
        <f t="shared" si="7"/>
        <v>850000</v>
      </c>
    </row>
    <row r="97" spans="1:10" ht="37.5">
      <c r="A97" s="52" t="s">
        <v>670</v>
      </c>
      <c r="B97" s="455" t="s">
        <v>929</v>
      </c>
      <c r="C97" s="166">
        <v>1752000</v>
      </c>
      <c r="D97" s="145"/>
      <c r="E97" s="145"/>
      <c r="F97" s="145"/>
      <c r="G97" s="145"/>
      <c r="H97" s="145"/>
      <c r="I97" s="145"/>
      <c r="J97" s="258">
        <f t="shared" si="7"/>
        <v>1752000</v>
      </c>
    </row>
    <row r="98" spans="1:10" ht="37.5">
      <c r="A98" s="52" t="s">
        <v>671</v>
      </c>
      <c r="B98" s="458" t="s">
        <v>930</v>
      </c>
      <c r="C98" s="166">
        <v>15100000</v>
      </c>
      <c r="D98" s="145"/>
      <c r="E98" s="145"/>
      <c r="F98" s="145"/>
      <c r="G98" s="145"/>
      <c r="H98" s="145"/>
      <c r="I98" s="145"/>
      <c r="J98" s="258">
        <f t="shared" si="7"/>
        <v>15100000</v>
      </c>
    </row>
    <row r="99" spans="1:10" ht="37.5">
      <c r="A99" s="52" t="s">
        <v>672</v>
      </c>
      <c r="B99" s="455" t="s">
        <v>931</v>
      </c>
      <c r="C99" s="166">
        <v>1400000</v>
      </c>
      <c r="D99" s="145"/>
      <c r="E99" s="145"/>
      <c r="F99" s="145"/>
      <c r="G99" s="145"/>
      <c r="H99" s="145"/>
      <c r="I99" s="145"/>
      <c r="J99" s="258">
        <f t="shared" si="7"/>
        <v>1400000</v>
      </c>
    </row>
    <row r="100" spans="1:10" ht="37.5">
      <c r="A100" s="52" t="s">
        <v>673</v>
      </c>
      <c r="B100" s="455" t="s">
        <v>932</v>
      </c>
      <c r="C100" s="166">
        <v>6000000</v>
      </c>
      <c r="D100" s="145"/>
      <c r="E100" s="145"/>
      <c r="F100" s="145"/>
      <c r="G100" s="145"/>
      <c r="H100" s="145"/>
      <c r="I100" s="145"/>
      <c r="J100" s="258">
        <f t="shared" si="7"/>
        <v>6000000</v>
      </c>
    </row>
    <row r="101" spans="1:10" ht="18.75">
      <c r="A101" s="52" t="s">
        <v>674</v>
      </c>
      <c r="B101" s="458"/>
      <c r="C101" s="166"/>
      <c r="D101" s="145"/>
      <c r="E101" s="145"/>
      <c r="F101" s="145"/>
      <c r="G101" s="145"/>
      <c r="H101" s="145"/>
      <c r="I101" s="145"/>
      <c r="J101" s="258">
        <f t="shared" si="7"/>
        <v>0</v>
      </c>
    </row>
    <row r="102" spans="1:10" ht="18.75">
      <c r="A102" s="52" t="s">
        <v>675</v>
      </c>
      <c r="B102" s="460"/>
      <c r="C102" s="166"/>
      <c r="D102" s="145"/>
      <c r="E102" s="145"/>
      <c r="F102" s="145"/>
      <c r="G102" s="145"/>
      <c r="H102" s="145"/>
      <c r="I102" s="145"/>
      <c r="J102" s="258">
        <f>SUM(C102:I102)</f>
        <v>0</v>
      </c>
    </row>
    <row r="103" spans="1:10" ht="18.75">
      <c r="A103" s="52" t="s">
        <v>676</v>
      </c>
      <c r="B103" s="460"/>
      <c r="C103" s="166"/>
      <c r="D103" s="145"/>
      <c r="E103" s="145"/>
      <c r="F103" s="145"/>
      <c r="G103" s="145"/>
      <c r="H103" s="145"/>
      <c r="I103" s="145"/>
      <c r="J103" s="258">
        <f>SUM(C103:I103)</f>
        <v>0</v>
      </c>
    </row>
    <row r="104" spans="1:10" ht="18.75">
      <c r="A104" s="52" t="s">
        <v>677</v>
      </c>
      <c r="B104" s="164"/>
      <c r="C104" s="166"/>
      <c r="D104" s="164"/>
      <c r="E104" s="164"/>
      <c r="F104" s="164"/>
      <c r="G104" s="164"/>
      <c r="H104" s="164"/>
      <c r="I104" s="164"/>
      <c r="J104" s="260">
        <f t="shared" si="7"/>
        <v>0</v>
      </c>
    </row>
    <row r="105" spans="1:10" ht="26.25">
      <c r="A105" s="52" t="s">
        <v>678</v>
      </c>
      <c r="B105" s="71" t="s">
        <v>679</v>
      </c>
      <c r="C105" s="77">
        <f>SUM(C20,C41,C62,C84)</f>
        <v>129266000</v>
      </c>
      <c r="D105" s="77">
        <f aca="true" t="shared" si="8" ref="D105:I105">SUM(D20,D41,D62,D84)</f>
        <v>0</v>
      </c>
      <c r="E105" s="77">
        <f t="shared" si="8"/>
        <v>0</v>
      </c>
      <c r="F105" s="77">
        <f t="shared" si="8"/>
        <v>0</v>
      </c>
      <c r="G105" s="77">
        <f t="shared" si="8"/>
        <v>0</v>
      </c>
      <c r="H105" s="77">
        <f t="shared" si="8"/>
        <v>0</v>
      </c>
      <c r="I105" s="77">
        <f t="shared" si="8"/>
        <v>0</v>
      </c>
      <c r="J105" s="78">
        <f t="shared" si="7"/>
        <v>129266000</v>
      </c>
    </row>
    <row r="107" ht="15">
      <c r="B107" s="52" t="s">
        <v>680</v>
      </c>
    </row>
  </sheetData>
  <sheetProtection password="A01C" sheet="1"/>
  <printOptions/>
  <pageMargins left="0.3937007874015748" right="0.2755905511811024" top="0.5118110236220472" bottom="0.4724409448818898" header="0.15748031496062992" footer="0.2362204724409449"/>
  <pageSetup fitToHeight="28" fitToWidth="1" horizontalDpi="600" verticalDpi="600" orientation="landscape" paperSize="8" scale="28" r:id="rId1"/>
  <headerFooter>
    <oddHeader>&amp;L&amp;14Piano di cassa dei flussi prospettici&amp;R&amp;14&amp;D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D14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3" max="3" width="74.8515625" style="0" customWidth="1"/>
    <col min="4" max="4" width="35.7109375" style="0" customWidth="1"/>
  </cols>
  <sheetData>
    <row r="2" ht="15.75">
      <c r="B2" s="386" t="s">
        <v>681</v>
      </c>
    </row>
    <row r="3" ht="15">
      <c r="B3" s="331" t="s">
        <v>682</v>
      </c>
    </row>
    <row r="4" ht="15">
      <c r="B4" s="331"/>
    </row>
    <row r="6" spans="2:4" ht="15">
      <c r="B6" s="402" t="s">
        <v>683</v>
      </c>
      <c r="C6" s="402" t="s">
        <v>684</v>
      </c>
      <c r="D6" s="402" t="s">
        <v>685</v>
      </c>
    </row>
    <row r="7" spans="2:4" ht="34.5" customHeight="1">
      <c r="B7" s="403">
        <v>1</v>
      </c>
      <c r="C7" s="404" t="s">
        <v>686</v>
      </c>
      <c r="D7" s="405" t="str">
        <f>'Beni e servizi'!$O$31</f>
        <v>OK</v>
      </c>
    </row>
    <row r="8" spans="2:4" ht="34.5" customHeight="1">
      <c r="B8" s="403">
        <v>2</v>
      </c>
      <c r="C8" s="404" t="s">
        <v>687</v>
      </c>
      <c r="D8" s="405" t="str">
        <f>'Beni e servizi'!$J$12</f>
        <v>OK</v>
      </c>
    </row>
    <row r="9" spans="2:4" ht="34.5" customHeight="1">
      <c r="B9" s="403">
        <v>3</v>
      </c>
      <c r="C9" s="404" t="s">
        <v>688</v>
      </c>
      <c r="D9" s="405" t="str">
        <f>'Beni e servizi'!$J$20</f>
        <v>OK</v>
      </c>
    </row>
    <row r="10" spans="2:4" ht="34.5" customHeight="1">
      <c r="B10" s="403">
        <v>4</v>
      </c>
      <c r="C10" s="404" t="s">
        <v>689</v>
      </c>
      <c r="D10" s="405" t="str">
        <f>'Beni e servizi'!$O$19</f>
        <v>OK</v>
      </c>
    </row>
    <row r="11" spans="2:4" ht="34.5" customHeight="1">
      <c r="B11" s="403">
        <v>5</v>
      </c>
      <c r="C11" s="404" t="s">
        <v>690</v>
      </c>
      <c r="D11" s="405" t="str">
        <f>'Beni e servizi'!$O$20</f>
        <v>OK</v>
      </c>
    </row>
    <row r="12" spans="2:4" ht="28.5" customHeight="1">
      <c r="B12" s="403" t="s">
        <v>691</v>
      </c>
      <c r="C12" s="410" t="s">
        <v>692</v>
      </c>
      <c r="D12" s="406" t="str">
        <f>'Beni e servizi'!$J$7</f>
        <v>Lo split payment è stato indicato</v>
      </c>
    </row>
    <row r="13" spans="2:3" ht="28.5" customHeight="1">
      <c r="B13" s="11"/>
      <c r="C13" s="387"/>
    </row>
    <row r="14" spans="2:3" ht="28.5" customHeight="1">
      <c r="B14" s="11"/>
      <c r="C14" s="387"/>
    </row>
  </sheetData>
  <sheetProtection password="A01C" sheet="1"/>
  <conditionalFormatting sqref="D7:D12">
    <cfRule type="cellIs" priority="11" dxfId="20" operator="equal" stopIfTrue="1">
      <formula>"OK"</formula>
    </cfRule>
    <cfRule type="cellIs" priority="12" dxfId="21" operator="notEqual" stopIfTrue="1">
      <formula>"OK"</formula>
    </cfRule>
  </conditionalFormatting>
  <conditionalFormatting sqref="D12">
    <cfRule type="cellIs" priority="5" dxfId="20" operator="equal" stopIfTrue="1">
      <formula>"OK"</formula>
    </cfRule>
    <cfRule type="expression" priority="6" dxfId="22" stopIfTrue="1">
      <formula>SEARCH("non",D12)&gt;0</formula>
    </cfRule>
  </conditionalFormatting>
  <conditionalFormatting sqref="D12">
    <cfRule type="cellIs" priority="3" dxfId="20" operator="equal" stopIfTrue="1">
      <formula>"OK"</formula>
    </cfRule>
    <cfRule type="expression" priority="4" dxfId="23" stopIfTrue="1">
      <formula>SEARCH("non",D12)&gt;0</formula>
    </cfRule>
  </conditionalFormatting>
  <conditionalFormatting sqref="D12">
    <cfRule type="expression" priority="1" dxfId="23" stopIfTrue="1">
      <formula>SEARCH("non",D12)&gt;0</formula>
    </cfRule>
    <cfRule type="expression" priority="2" dxfId="24" stopIfTrue="1">
      <formula>ISERROR(SEARCH("non",D12))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E4"/>
    </sheetView>
  </sheetViews>
  <sheetFormatPr defaultColWidth="9.140625" defaultRowHeight="15"/>
  <sheetData>
    <row r="1" spans="1:4" ht="15">
      <c r="A1" s="276" t="s">
        <v>693</v>
      </c>
      <c r="B1" s="276" t="s">
        <v>694</v>
      </c>
      <c r="C1" s="276" t="s">
        <v>695</v>
      </c>
      <c r="D1" s="276" t="s">
        <v>13</v>
      </c>
    </row>
    <row r="2" spans="1:4" ht="15">
      <c r="A2" s="276" t="s">
        <v>696</v>
      </c>
      <c r="B2" s="276" t="s">
        <v>19</v>
      </c>
      <c r="C2" s="276" t="s">
        <v>19</v>
      </c>
      <c r="D2" s="276" t="s">
        <v>697</v>
      </c>
    </row>
    <row r="3" spans="1:4" ht="15">
      <c r="A3" s="276"/>
      <c r="B3" s="276"/>
      <c r="C3" s="276"/>
      <c r="D3" s="276"/>
    </row>
    <row r="4" spans="1:4" ht="15">
      <c r="A4" s="276"/>
      <c r="B4" s="276"/>
      <c r="C4" s="276"/>
      <c r="D4" s="27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23" sqref="L23"/>
    </sheetView>
  </sheetViews>
  <sheetFormatPr defaultColWidth="9.140625" defaultRowHeight="15"/>
  <sheetData>
    <row r="1" spans="1:9" ht="30">
      <c r="A1" s="276" t="s">
        <v>698</v>
      </c>
      <c r="B1" s="276" t="s">
        <v>699</v>
      </c>
      <c r="C1" s="276" t="s">
        <v>700</v>
      </c>
      <c r="D1" s="276" t="s">
        <v>693</v>
      </c>
      <c r="E1" s="276" t="s">
        <v>701</v>
      </c>
      <c r="F1" s="276" t="s">
        <v>702</v>
      </c>
      <c r="G1" s="276" t="s">
        <v>703</v>
      </c>
      <c r="H1" s="276" t="s">
        <v>704</v>
      </c>
      <c r="I1" s="450" t="s">
        <v>705</v>
      </c>
    </row>
    <row r="2" spans="1:9" ht="15">
      <c r="A2" s="276" t="s">
        <v>706</v>
      </c>
      <c r="B2" s="276" t="s">
        <v>707</v>
      </c>
      <c r="C2" s="276" t="s">
        <v>19</v>
      </c>
      <c r="D2" s="276" t="s">
        <v>257</v>
      </c>
      <c r="E2" s="276">
        <v>44483298</v>
      </c>
      <c r="F2" s="276">
        <v>44483298</v>
      </c>
      <c r="G2" s="276">
        <v>0</v>
      </c>
      <c r="H2" s="450">
        <v>0</v>
      </c>
      <c r="I2" s="450" t="s">
        <v>4</v>
      </c>
    </row>
    <row r="3" spans="1:9" ht="15">
      <c r="A3" s="276" t="s">
        <v>708</v>
      </c>
      <c r="B3" s="276" t="s">
        <v>707</v>
      </c>
      <c r="C3" s="276" t="s">
        <v>19</v>
      </c>
      <c r="D3" s="276" t="s">
        <v>280</v>
      </c>
      <c r="E3" s="276">
        <v>0</v>
      </c>
      <c r="F3" s="276">
        <v>0</v>
      </c>
      <c r="G3" s="276">
        <v>0</v>
      </c>
      <c r="H3" s="450">
        <v>0</v>
      </c>
      <c r="I3" s="450" t="s">
        <v>4</v>
      </c>
    </row>
    <row r="4" spans="1:9" ht="15">
      <c r="A4" s="276" t="s">
        <v>709</v>
      </c>
      <c r="B4" s="276" t="s">
        <v>707</v>
      </c>
      <c r="C4" s="276" t="s">
        <v>19</v>
      </c>
      <c r="D4" s="276" t="s">
        <v>282</v>
      </c>
      <c r="E4" s="276">
        <v>1793000</v>
      </c>
      <c r="F4" s="276">
        <v>1793000</v>
      </c>
      <c r="G4" s="276">
        <v>0</v>
      </c>
      <c r="H4" s="450">
        <v>0</v>
      </c>
      <c r="I4" s="450" t="s">
        <v>4</v>
      </c>
    </row>
    <row r="5" spans="1:9" ht="15">
      <c r="A5" s="276" t="s">
        <v>710</v>
      </c>
      <c r="B5" s="276" t="s">
        <v>707</v>
      </c>
      <c r="C5" s="276" t="s">
        <v>19</v>
      </c>
      <c r="D5" s="276" t="s">
        <v>283</v>
      </c>
      <c r="E5" s="276">
        <v>0</v>
      </c>
      <c r="F5" s="276">
        <v>0</v>
      </c>
      <c r="G5" s="276">
        <v>0</v>
      </c>
      <c r="H5" s="450">
        <v>0</v>
      </c>
      <c r="I5" s="450" t="s">
        <v>4</v>
      </c>
    </row>
    <row r="6" spans="1:9" ht="15">
      <c r="A6" s="276" t="s">
        <v>711</v>
      </c>
      <c r="B6" s="276" t="s">
        <v>707</v>
      </c>
      <c r="C6" s="276" t="s">
        <v>19</v>
      </c>
      <c r="D6" s="276" t="s">
        <v>285</v>
      </c>
      <c r="E6" s="276">
        <v>0</v>
      </c>
      <c r="F6" s="276">
        <v>0</v>
      </c>
      <c r="G6" s="276">
        <v>0</v>
      </c>
      <c r="H6" s="450">
        <v>0</v>
      </c>
      <c r="I6" s="450" t="s">
        <v>4</v>
      </c>
    </row>
    <row r="7" spans="1:9" ht="15">
      <c r="A7" s="276" t="s">
        <v>712</v>
      </c>
      <c r="B7" s="276" t="s">
        <v>707</v>
      </c>
      <c r="C7" s="276" t="s">
        <v>19</v>
      </c>
      <c r="D7" s="276" t="s">
        <v>287</v>
      </c>
      <c r="E7" s="276">
        <v>3952000</v>
      </c>
      <c r="F7" s="276">
        <v>3952000</v>
      </c>
      <c r="G7" s="276">
        <v>0</v>
      </c>
      <c r="H7" s="450">
        <v>0</v>
      </c>
      <c r="I7" s="450" t="s">
        <v>4</v>
      </c>
    </row>
    <row r="8" spans="1:9" ht="15">
      <c r="A8" s="276" t="s">
        <v>713</v>
      </c>
      <c r="B8" s="276" t="s">
        <v>707</v>
      </c>
      <c r="C8" s="276" t="s">
        <v>19</v>
      </c>
      <c r="D8" s="276" t="s">
        <v>293</v>
      </c>
      <c r="E8" s="276">
        <v>20833000</v>
      </c>
      <c r="F8" s="276">
        <v>0</v>
      </c>
      <c r="G8" s="276">
        <v>20833000</v>
      </c>
      <c r="H8" s="450">
        <v>0</v>
      </c>
      <c r="I8" s="450" t="s">
        <v>4</v>
      </c>
    </row>
    <row r="9" spans="1:9" ht="15">
      <c r="A9" s="276" t="s">
        <v>714</v>
      </c>
      <c r="B9" s="276" t="s">
        <v>707</v>
      </c>
      <c r="C9" s="276" t="s">
        <v>19</v>
      </c>
      <c r="D9" s="276" t="s">
        <v>296</v>
      </c>
      <c r="E9" s="276">
        <v>0</v>
      </c>
      <c r="F9" s="276">
        <v>0</v>
      </c>
      <c r="G9" s="276">
        <v>0</v>
      </c>
      <c r="H9" s="450">
        <v>0</v>
      </c>
      <c r="I9" s="450" t="s">
        <v>4</v>
      </c>
    </row>
    <row r="10" spans="1:9" ht="15">
      <c r="A10" s="276" t="s">
        <v>715</v>
      </c>
      <c r="B10" s="276" t="s">
        <v>707</v>
      </c>
      <c r="C10" s="276" t="s">
        <v>19</v>
      </c>
      <c r="D10" s="276" t="s">
        <v>261</v>
      </c>
      <c r="E10" s="276">
        <v>34985000</v>
      </c>
      <c r="F10" s="276">
        <v>34985000</v>
      </c>
      <c r="G10" s="276">
        <v>0</v>
      </c>
      <c r="H10" s="450">
        <v>0</v>
      </c>
      <c r="I10" s="450" t="s">
        <v>4</v>
      </c>
    </row>
    <row r="11" spans="1:9" ht="15">
      <c r="A11" s="276" t="s">
        <v>716</v>
      </c>
      <c r="B11" s="276" t="s">
        <v>707</v>
      </c>
      <c r="C11" s="276" t="s">
        <v>19</v>
      </c>
      <c r="D11" s="276" t="s">
        <v>298</v>
      </c>
      <c r="E11" s="276">
        <v>0</v>
      </c>
      <c r="F11" s="276">
        <v>0</v>
      </c>
      <c r="G11" s="276">
        <v>0</v>
      </c>
      <c r="H11" s="450">
        <v>0</v>
      </c>
      <c r="I11" s="450" t="s">
        <v>4</v>
      </c>
    </row>
    <row r="12" spans="1:9" ht="15">
      <c r="A12" s="276" t="s">
        <v>717</v>
      </c>
      <c r="B12" s="276" t="s">
        <v>707</v>
      </c>
      <c r="C12" s="276" t="s">
        <v>19</v>
      </c>
      <c r="D12" s="276" t="s">
        <v>303</v>
      </c>
      <c r="E12" s="276">
        <v>13096000</v>
      </c>
      <c r="F12" s="276">
        <v>13096000</v>
      </c>
      <c r="G12" s="276">
        <v>0</v>
      </c>
      <c r="H12" s="450">
        <v>0</v>
      </c>
      <c r="I12" s="450" t="s">
        <v>4</v>
      </c>
    </row>
    <row r="13" spans="1:9" ht="15">
      <c r="A13" s="276" t="s">
        <v>718</v>
      </c>
      <c r="B13" s="276" t="s">
        <v>707</v>
      </c>
      <c r="C13" s="276" t="s">
        <v>19</v>
      </c>
      <c r="D13" s="276" t="s">
        <v>307</v>
      </c>
      <c r="E13" s="276">
        <v>0</v>
      </c>
      <c r="F13" s="276">
        <v>0</v>
      </c>
      <c r="G13" s="276">
        <v>0</v>
      </c>
      <c r="H13" s="450">
        <v>0</v>
      </c>
      <c r="I13" s="450" t="s">
        <v>4</v>
      </c>
    </row>
    <row r="14" spans="1:9" ht="15">
      <c r="A14" s="276" t="s">
        <v>719</v>
      </c>
      <c r="B14" s="276" t="s">
        <v>707</v>
      </c>
      <c r="C14" s="276" t="s">
        <v>19</v>
      </c>
      <c r="D14" s="276" t="s">
        <v>310</v>
      </c>
      <c r="E14" s="276">
        <v>0</v>
      </c>
      <c r="F14" s="276">
        <v>0</v>
      </c>
      <c r="G14" s="276">
        <v>0</v>
      </c>
      <c r="H14" s="450">
        <v>0</v>
      </c>
      <c r="I14" s="450" t="s">
        <v>4</v>
      </c>
    </row>
    <row r="15" spans="1:9" ht="15">
      <c r="A15" s="276" t="s">
        <v>720</v>
      </c>
      <c r="B15" s="276" t="s">
        <v>707</v>
      </c>
      <c r="C15" s="276" t="s">
        <v>19</v>
      </c>
      <c r="D15" s="276" t="s">
        <v>314</v>
      </c>
      <c r="E15" s="276">
        <v>0</v>
      </c>
      <c r="F15" s="276">
        <v>0</v>
      </c>
      <c r="G15" s="276">
        <v>0</v>
      </c>
      <c r="H15" s="450">
        <v>0</v>
      </c>
      <c r="I15" s="450" t="s">
        <v>4</v>
      </c>
    </row>
    <row r="16" spans="1:9" ht="15">
      <c r="A16" s="276" t="s">
        <v>721</v>
      </c>
      <c r="B16" s="276" t="s">
        <v>707</v>
      </c>
      <c r="C16" s="276" t="s">
        <v>19</v>
      </c>
      <c r="D16" s="276" t="s">
        <v>319</v>
      </c>
      <c r="E16" s="276">
        <v>0</v>
      </c>
      <c r="F16" s="276">
        <v>0</v>
      </c>
      <c r="G16" s="276">
        <v>0</v>
      </c>
      <c r="H16" s="450">
        <v>0</v>
      </c>
      <c r="I16" s="450" t="s">
        <v>4</v>
      </c>
    </row>
    <row r="17" spans="1:9" ht="15">
      <c r="A17" s="276" t="s">
        <v>722</v>
      </c>
      <c r="B17" s="276" t="s">
        <v>707</v>
      </c>
      <c r="C17" s="276" t="s">
        <v>19</v>
      </c>
      <c r="D17" s="276" t="s">
        <v>327</v>
      </c>
      <c r="E17" s="276">
        <v>0</v>
      </c>
      <c r="F17" s="276">
        <v>0</v>
      </c>
      <c r="G17" s="276">
        <v>0</v>
      </c>
      <c r="H17" s="450">
        <v>0</v>
      </c>
      <c r="I17" s="450" t="s">
        <v>4</v>
      </c>
    </row>
    <row r="18" spans="1:9" ht="15">
      <c r="A18" s="276" t="s">
        <v>723</v>
      </c>
      <c r="B18" s="276" t="s">
        <v>707</v>
      </c>
      <c r="C18" s="276" t="s">
        <v>19</v>
      </c>
      <c r="D18" s="276" t="s">
        <v>266</v>
      </c>
      <c r="E18" s="276">
        <v>8540000</v>
      </c>
      <c r="F18" s="276">
        <v>8540000</v>
      </c>
      <c r="G18" s="276">
        <v>0</v>
      </c>
      <c r="H18" s="450">
        <v>0</v>
      </c>
      <c r="I18" s="450" t="s">
        <v>4</v>
      </c>
    </row>
    <row r="19" spans="1:9" ht="15">
      <c r="A19" s="276" t="s">
        <v>724</v>
      </c>
      <c r="B19" s="276" t="s">
        <v>707</v>
      </c>
      <c r="C19" s="276" t="s">
        <v>19</v>
      </c>
      <c r="D19" s="276" t="s">
        <v>725</v>
      </c>
      <c r="E19" s="276">
        <v>0</v>
      </c>
      <c r="F19" s="276">
        <v>0</v>
      </c>
      <c r="G19" s="276">
        <v>0</v>
      </c>
      <c r="H19" s="450">
        <v>0</v>
      </c>
      <c r="I19" s="450" t="s">
        <v>4</v>
      </c>
    </row>
    <row r="20" spans="1:9" ht="15">
      <c r="A20" s="276" t="s">
        <v>726</v>
      </c>
      <c r="B20" s="276" t="s">
        <v>707</v>
      </c>
      <c r="C20" s="276" t="s">
        <v>19</v>
      </c>
      <c r="D20" s="276" t="s">
        <v>727</v>
      </c>
      <c r="E20" s="276">
        <v>0</v>
      </c>
      <c r="F20" s="276">
        <v>0</v>
      </c>
      <c r="G20" s="276">
        <v>0</v>
      </c>
      <c r="H20" s="450">
        <v>0</v>
      </c>
      <c r="I20" s="450" t="s">
        <v>4</v>
      </c>
    </row>
    <row r="21" spans="1:9" ht="15">
      <c r="A21" s="276" t="s">
        <v>728</v>
      </c>
      <c r="B21" s="276" t="s">
        <v>707</v>
      </c>
      <c r="C21" s="276" t="s">
        <v>19</v>
      </c>
      <c r="D21" s="276" t="s">
        <v>729</v>
      </c>
      <c r="E21" s="276">
        <v>0</v>
      </c>
      <c r="F21" s="276">
        <v>0</v>
      </c>
      <c r="G21" s="276">
        <v>0</v>
      </c>
      <c r="H21" s="450">
        <v>0</v>
      </c>
      <c r="I21" s="450" t="s">
        <v>4</v>
      </c>
    </row>
    <row r="22" spans="1:9" ht="15">
      <c r="A22" s="276" t="s">
        <v>730</v>
      </c>
      <c r="B22" s="276" t="s">
        <v>707</v>
      </c>
      <c r="C22" s="276" t="s">
        <v>19</v>
      </c>
      <c r="D22" s="276" t="s">
        <v>270</v>
      </c>
      <c r="E22" s="276">
        <v>1488000</v>
      </c>
      <c r="F22" s="276">
        <v>1488000</v>
      </c>
      <c r="G22" s="276">
        <v>0</v>
      </c>
      <c r="H22" s="450">
        <v>0</v>
      </c>
      <c r="I22" s="450" t="s">
        <v>4</v>
      </c>
    </row>
    <row r="23" spans="1:9" ht="15">
      <c r="A23" s="276" t="s">
        <v>731</v>
      </c>
      <c r="B23" s="276" t="s">
        <v>707</v>
      </c>
      <c r="C23" s="276" t="s">
        <v>19</v>
      </c>
      <c r="D23" s="276" t="s">
        <v>272</v>
      </c>
      <c r="E23" s="276">
        <v>0</v>
      </c>
      <c r="F23" s="276">
        <v>0</v>
      </c>
      <c r="G23" s="276">
        <v>0</v>
      </c>
      <c r="H23" s="450">
        <v>0</v>
      </c>
      <c r="I23" s="450" t="s">
        <v>4</v>
      </c>
    </row>
    <row r="24" spans="1:9" ht="15">
      <c r="A24" s="276" t="s">
        <v>732</v>
      </c>
      <c r="B24" s="276" t="s">
        <v>707</v>
      </c>
      <c r="C24" s="276" t="s">
        <v>19</v>
      </c>
      <c r="D24" s="276" t="s">
        <v>274</v>
      </c>
      <c r="E24" s="276">
        <v>0</v>
      </c>
      <c r="F24" s="276">
        <v>0</v>
      </c>
      <c r="G24" s="276">
        <v>0</v>
      </c>
      <c r="H24" s="450">
        <v>0</v>
      </c>
      <c r="I24" s="450" t="s">
        <v>4</v>
      </c>
    </row>
    <row r="25" spans="1:9" ht="15">
      <c r="A25" s="276" t="s">
        <v>733</v>
      </c>
      <c r="B25" s="276" t="s">
        <v>707</v>
      </c>
      <c r="C25" s="276" t="s">
        <v>19</v>
      </c>
      <c r="D25" s="276" t="s">
        <v>276</v>
      </c>
      <c r="E25" s="276">
        <v>0</v>
      </c>
      <c r="F25" s="276">
        <v>0</v>
      </c>
      <c r="G25" s="276">
        <v>0</v>
      </c>
      <c r="H25" s="450">
        <v>0</v>
      </c>
      <c r="I25" s="450" t="s">
        <v>4</v>
      </c>
    </row>
    <row r="26" spans="1:9" ht="15">
      <c r="A26" s="276" t="s">
        <v>734</v>
      </c>
      <c r="B26" s="276" t="s">
        <v>707</v>
      </c>
      <c r="C26" s="276" t="s">
        <v>19</v>
      </c>
      <c r="D26" s="276" t="s">
        <v>278</v>
      </c>
      <c r="E26" s="276">
        <v>0</v>
      </c>
      <c r="F26" s="276">
        <v>0</v>
      </c>
      <c r="G26" s="276">
        <v>0</v>
      </c>
      <c r="H26" s="450">
        <v>0</v>
      </c>
      <c r="I26" s="450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C10" sqref="C10"/>
    </sheetView>
  </sheetViews>
  <sheetFormatPr defaultColWidth="9.140625" defaultRowHeight="15"/>
  <sheetData>
    <row r="1" spans="1:10" ht="30">
      <c r="A1" s="254" t="s">
        <v>698</v>
      </c>
      <c r="B1" s="254" t="s">
        <v>700</v>
      </c>
      <c r="C1" s="254" t="s">
        <v>693</v>
      </c>
      <c r="D1" s="254" t="s">
        <v>701</v>
      </c>
      <c r="E1" s="254" t="s">
        <v>702</v>
      </c>
      <c r="F1" s="254" t="s">
        <v>703</v>
      </c>
      <c r="G1" s="254" t="s">
        <v>704</v>
      </c>
      <c r="H1" s="254" t="s">
        <v>735</v>
      </c>
      <c r="I1" s="254" t="s">
        <v>736</v>
      </c>
      <c r="J1" s="450" t="s">
        <v>705</v>
      </c>
    </row>
    <row r="2" spans="1:10" ht="15">
      <c r="A2" s="254" t="s">
        <v>737</v>
      </c>
      <c r="B2" s="254" t="s">
        <v>19</v>
      </c>
      <c r="C2" s="254" t="s">
        <v>738</v>
      </c>
      <c r="D2" s="254">
        <v>95241298</v>
      </c>
      <c r="E2" s="254">
        <v>20833000</v>
      </c>
      <c r="F2" s="254">
        <v>116074298</v>
      </c>
      <c r="G2" s="254">
        <v>0</v>
      </c>
      <c r="H2" s="254">
        <v>116074298</v>
      </c>
      <c r="I2" s="254">
        <v>0</v>
      </c>
      <c r="J2" s="450" t="s">
        <v>4</v>
      </c>
    </row>
    <row r="3" spans="1:10" ht="15">
      <c r="A3" s="254" t="s">
        <v>739</v>
      </c>
      <c r="B3" s="254" t="s">
        <v>19</v>
      </c>
      <c r="C3" s="254" t="s">
        <v>740</v>
      </c>
      <c r="D3" s="254">
        <v>186249000</v>
      </c>
      <c r="E3" s="254">
        <v>14284000</v>
      </c>
      <c r="F3" s="254">
        <v>200533000</v>
      </c>
      <c r="G3" s="254">
        <v>1119000</v>
      </c>
      <c r="H3" s="254">
        <v>201652000</v>
      </c>
      <c r="I3" s="254">
        <v>0</v>
      </c>
      <c r="J3" s="450" t="s">
        <v>4</v>
      </c>
    </row>
    <row r="4" spans="1:10" ht="15">
      <c r="A4" s="254" t="s">
        <v>741</v>
      </c>
      <c r="B4" s="254" t="s">
        <v>19</v>
      </c>
      <c r="C4" s="254" t="s">
        <v>742</v>
      </c>
      <c r="D4" s="254">
        <v>12399000</v>
      </c>
      <c r="E4" s="254">
        <v>912000</v>
      </c>
      <c r="F4" s="254">
        <v>13311000</v>
      </c>
      <c r="G4" s="254">
        <v>85000</v>
      </c>
      <c r="H4" s="254">
        <v>13396000</v>
      </c>
      <c r="I4" s="254">
        <v>0</v>
      </c>
      <c r="J4" s="450" t="s">
        <v>4</v>
      </c>
    </row>
    <row r="5" spans="1:10" ht="15">
      <c r="A5" s="254" t="s">
        <v>743</v>
      </c>
      <c r="B5" s="254" t="s">
        <v>19</v>
      </c>
      <c r="C5" s="254" t="s">
        <v>744</v>
      </c>
      <c r="D5" s="254">
        <v>13566000</v>
      </c>
      <c r="E5" s="254">
        <v>426000</v>
      </c>
      <c r="F5" s="254">
        <v>13992000</v>
      </c>
      <c r="G5" s="254">
        <v>0</v>
      </c>
      <c r="H5" s="254">
        <v>13992000</v>
      </c>
      <c r="I5" s="254">
        <v>0</v>
      </c>
      <c r="J5" s="450" t="s">
        <v>4</v>
      </c>
    </row>
    <row r="6" spans="1:10" ht="15">
      <c r="A6" s="254" t="s">
        <v>745</v>
      </c>
      <c r="B6" s="254" t="s">
        <v>19</v>
      </c>
      <c r="C6" s="254" t="s">
        <v>746</v>
      </c>
      <c r="D6" s="254">
        <v>162446772</v>
      </c>
      <c r="E6" s="254">
        <v>4350000</v>
      </c>
      <c r="F6" s="254">
        <v>166796772</v>
      </c>
      <c r="G6" s="254">
        <v>78000</v>
      </c>
      <c r="H6" s="254">
        <v>166874772</v>
      </c>
      <c r="I6" s="254">
        <v>0</v>
      </c>
      <c r="J6" s="450" t="s">
        <v>4</v>
      </c>
    </row>
    <row r="7" spans="1:10" ht="15">
      <c r="A7" s="254" t="s">
        <v>747</v>
      </c>
      <c r="B7" s="254" t="s">
        <v>19</v>
      </c>
      <c r="C7" s="254" t="s">
        <v>748</v>
      </c>
      <c r="D7" s="254">
        <v>2055000</v>
      </c>
      <c r="E7" s="254">
        <v>0</v>
      </c>
      <c r="F7" s="254">
        <v>2055000</v>
      </c>
      <c r="G7" s="254">
        <v>0</v>
      </c>
      <c r="H7" s="254">
        <v>2055000</v>
      </c>
      <c r="I7" s="254">
        <v>0</v>
      </c>
      <c r="J7" s="450" t="s">
        <v>4</v>
      </c>
    </row>
    <row r="8" spans="1:10" ht="15">
      <c r="A8" s="254" t="s">
        <v>749</v>
      </c>
      <c r="B8" s="254" t="s">
        <v>19</v>
      </c>
      <c r="C8" s="254" t="s">
        <v>750</v>
      </c>
      <c r="D8" s="254">
        <v>6967000</v>
      </c>
      <c r="E8" s="254">
        <v>2008000</v>
      </c>
      <c r="F8" s="254">
        <v>8975000</v>
      </c>
      <c r="G8" s="254">
        <v>2000</v>
      </c>
      <c r="H8" s="254">
        <v>8977000</v>
      </c>
      <c r="I8" s="254">
        <v>0</v>
      </c>
      <c r="J8" s="450" t="s">
        <v>4</v>
      </c>
    </row>
    <row r="9" spans="1:10" ht="15">
      <c r="A9" s="254" t="s">
        <v>751</v>
      </c>
      <c r="B9" s="254" t="s">
        <v>19</v>
      </c>
      <c r="C9" s="254" t="s">
        <v>752</v>
      </c>
      <c r="D9" s="254">
        <v>2201000</v>
      </c>
      <c r="E9" s="254">
        <v>138000</v>
      </c>
      <c r="F9" s="254">
        <v>2339000</v>
      </c>
      <c r="G9" s="254">
        <v>0</v>
      </c>
      <c r="H9" s="254">
        <v>2339000</v>
      </c>
      <c r="I9" s="254">
        <v>0</v>
      </c>
      <c r="J9" s="450" t="s">
        <v>4</v>
      </c>
    </row>
    <row r="10" spans="1:10" ht="15">
      <c r="A10" s="254" t="s">
        <v>753</v>
      </c>
      <c r="B10" s="254" t="s">
        <v>19</v>
      </c>
      <c r="C10" s="254" t="s">
        <v>754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450" t="s">
        <v>4</v>
      </c>
    </row>
    <row r="11" spans="1:10" ht="15">
      <c r="A11" s="254" t="s">
        <v>755</v>
      </c>
      <c r="B11" s="254" t="s">
        <v>19</v>
      </c>
      <c r="C11" s="254" t="s">
        <v>756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450" t="s">
        <v>4</v>
      </c>
    </row>
    <row r="12" spans="1:10" ht="15">
      <c r="A12" s="254" t="s">
        <v>757</v>
      </c>
      <c r="B12" s="254" t="s">
        <v>19</v>
      </c>
      <c r="C12" s="254" t="s">
        <v>758</v>
      </c>
      <c r="D12" s="254">
        <v>124816332</v>
      </c>
      <c r="E12" s="254">
        <v>0</v>
      </c>
      <c r="F12" s="254">
        <v>124816332</v>
      </c>
      <c r="G12" s="254">
        <v>0</v>
      </c>
      <c r="H12" s="254">
        <v>124816332</v>
      </c>
      <c r="I12" s="254">
        <v>0</v>
      </c>
      <c r="J12" s="450" t="s">
        <v>4</v>
      </c>
    </row>
    <row r="13" spans="1:10" ht="15">
      <c r="A13" s="254" t="s">
        <v>759</v>
      </c>
      <c r="B13" s="254" t="s">
        <v>19</v>
      </c>
      <c r="C13" s="254" t="s">
        <v>760</v>
      </c>
      <c r="D13" s="254">
        <v>5417000</v>
      </c>
      <c r="E13" s="254">
        <v>0</v>
      </c>
      <c r="F13" s="254">
        <v>5417000</v>
      </c>
      <c r="G13" s="254">
        <v>0</v>
      </c>
      <c r="H13" s="254">
        <v>5417000</v>
      </c>
      <c r="I13" s="254">
        <v>0</v>
      </c>
      <c r="J13" s="450" t="s">
        <v>4</v>
      </c>
    </row>
    <row r="14" spans="1:10" ht="15">
      <c r="A14" s="254" t="s">
        <v>761</v>
      </c>
      <c r="B14" s="254" t="s">
        <v>19</v>
      </c>
      <c r="C14" s="254" t="s">
        <v>762</v>
      </c>
      <c r="D14" s="254">
        <v>280064</v>
      </c>
      <c r="E14" s="254">
        <v>0</v>
      </c>
      <c r="F14" s="254">
        <v>280064</v>
      </c>
      <c r="G14" s="254">
        <v>0</v>
      </c>
      <c r="H14" s="254">
        <v>280064</v>
      </c>
      <c r="I14" s="254">
        <v>0</v>
      </c>
      <c r="J14" s="450" t="s">
        <v>4</v>
      </c>
    </row>
    <row r="15" spans="1:10" ht="15">
      <c r="A15" s="254" t="s">
        <v>763</v>
      </c>
      <c r="B15" s="254" t="s">
        <v>19</v>
      </c>
      <c r="C15" s="254" t="s">
        <v>764</v>
      </c>
      <c r="D15" s="254">
        <v>9056697</v>
      </c>
      <c r="E15" s="254">
        <v>0</v>
      </c>
      <c r="F15" s="254">
        <v>9056697</v>
      </c>
      <c r="G15" s="254">
        <v>0</v>
      </c>
      <c r="H15" s="254">
        <v>9056697</v>
      </c>
      <c r="I15" s="254">
        <v>0</v>
      </c>
      <c r="J15" s="450" t="s">
        <v>4</v>
      </c>
    </row>
    <row r="16" spans="1:10" ht="15">
      <c r="A16" s="254" t="s">
        <v>765</v>
      </c>
      <c r="B16" s="254" t="s">
        <v>19</v>
      </c>
      <c r="C16" s="254" t="s">
        <v>766</v>
      </c>
      <c r="D16" s="254">
        <v>1412000</v>
      </c>
      <c r="E16" s="254">
        <v>0</v>
      </c>
      <c r="F16" s="254">
        <v>1412000</v>
      </c>
      <c r="G16" s="254">
        <v>0</v>
      </c>
      <c r="H16" s="254">
        <v>1412000</v>
      </c>
      <c r="I16" s="254">
        <v>0</v>
      </c>
      <c r="J16" s="450" t="s">
        <v>4</v>
      </c>
    </row>
    <row r="17" spans="1:10" ht="15">
      <c r="A17" s="254" t="s">
        <v>767</v>
      </c>
      <c r="B17" s="254" t="s">
        <v>19</v>
      </c>
      <c r="C17" s="254" t="s">
        <v>768</v>
      </c>
      <c r="D17" s="254">
        <v>34985000</v>
      </c>
      <c r="E17" s="254">
        <v>0</v>
      </c>
      <c r="F17" s="254">
        <v>34985000</v>
      </c>
      <c r="G17" s="254">
        <v>0</v>
      </c>
      <c r="H17" s="254">
        <v>34985000</v>
      </c>
      <c r="I17" s="254">
        <v>0</v>
      </c>
      <c r="J17" s="450" t="s">
        <v>4</v>
      </c>
    </row>
    <row r="18" spans="1:10" ht="15">
      <c r="A18" s="254" t="s">
        <v>769</v>
      </c>
      <c r="B18" s="254" t="s">
        <v>19</v>
      </c>
      <c r="C18" s="254" t="s">
        <v>770</v>
      </c>
      <c r="D18" s="254">
        <v>49003571</v>
      </c>
      <c r="E18" s="254">
        <v>0</v>
      </c>
      <c r="F18" s="254">
        <v>49003571</v>
      </c>
      <c r="G18" s="254">
        <v>0</v>
      </c>
      <c r="H18" s="254">
        <v>49003571</v>
      </c>
      <c r="I18" s="254">
        <v>0</v>
      </c>
      <c r="J18" s="450" t="s">
        <v>4</v>
      </c>
    </row>
    <row r="19" spans="1:10" ht="15">
      <c r="A19" s="254" t="s">
        <v>771</v>
      </c>
      <c r="B19" s="254" t="s">
        <v>19</v>
      </c>
      <c r="C19" s="254" t="s">
        <v>772</v>
      </c>
      <c r="D19" s="254">
        <v>1267000</v>
      </c>
      <c r="E19" s="254">
        <v>0</v>
      </c>
      <c r="F19" s="254">
        <v>1267000</v>
      </c>
      <c r="G19" s="254">
        <v>0</v>
      </c>
      <c r="H19" s="254">
        <v>1267000</v>
      </c>
      <c r="I19" s="254">
        <v>0</v>
      </c>
      <c r="J19" s="450" t="s">
        <v>4</v>
      </c>
    </row>
    <row r="20" spans="1:10" ht="15">
      <c r="A20" s="254" t="s">
        <v>773</v>
      </c>
      <c r="B20" s="254" t="s">
        <v>19</v>
      </c>
      <c r="C20" s="254" t="s">
        <v>774</v>
      </c>
      <c r="D20" s="254">
        <v>10946</v>
      </c>
      <c r="E20" s="254">
        <v>0</v>
      </c>
      <c r="F20" s="254">
        <v>10946</v>
      </c>
      <c r="G20" s="254">
        <v>0</v>
      </c>
      <c r="H20" s="254">
        <v>10946</v>
      </c>
      <c r="I20" s="254">
        <v>0</v>
      </c>
      <c r="J20" s="450" t="s">
        <v>4</v>
      </c>
    </row>
    <row r="21" spans="1:10" ht="15">
      <c r="A21" s="254" t="s">
        <v>775</v>
      </c>
      <c r="B21" s="254" t="s">
        <v>19</v>
      </c>
      <c r="C21" s="254" t="s">
        <v>776</v>
      </c>
      <c r="D21" s="254">
        <v>265000</v>
      </c>
      <c r="E21" s="254">
        <v>0</v>
      </c>
      <c r="F21" s="254">
        <v>265000</v>
      </c>
      <c r="G21" s="254">
        <v>0</v>
      </c>
      <c r="H21" s="254">
        <v>265000</v>
      </c>
      <c r="I21" s="254">
        <v>0</v>
      </c>
      <c r="J21" s="450" t="s">
        <v>4</v>
      </c>
    </row>
    <row r="22" spans="1:10" ht="15">
      <c r="A22" s="254" t="s">
        <v>777</v>
      </c>
      <c r="B22" s="254" t="s">
        <v>19</v>
      </c>
      <c r="C22" s="254" t="s">
        <v>778</v>
      </c>
      <c r="D22" s="254">
        <v>2096158</v>
      </c>
      <c r="E22" s="254">
        <v>0</v>
      </c>
      <c r="F22" s="254">
        <v>2096158</v>
      </c>
      <c r="G22" s="254">
        <v>0</v>
      </c>
      <c r="H22" s="254">
        <v>2096158</v>
      </c>
      <c r="I22" s="254">
        <v>0</v>
      </c>
      <c r="J22" s="450" t="s">
        <v>4</v>
      </c>
    </row>
    <row r="23" spans="1:10" ht="15">
      <c r="A23" s="254" t="s">
        <v>779</v>
      </c>
      <c r="B23" s="254" t="s">
        <v>19</v>
      </c>
      <c r="C23" s="254" t="s">
        <v>780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450" t="s">
        <v>4</v>
      </c>
    </row>
    <row r="24" spans="1:10" ht="15">
      <c r="A24" s="254" t="s">
        <v>781</v>
      </c>
      <c r="B24" s="254" t="s">
        <v>19</v>
      </c>
      <c r="C24" s="254" t="s">
        <v>782</v>
      </c>
      <c r="D24" s="254">
        <v>346000</v>
      </c>
      <c r="E24" s="254">
        <v>0</v>
      </c>
      <c r="F24" s="254">
        <v>346000</v>
      </c>
      <c r="G24" s="254">
        <v>0</v>
      </c>
      <c r="H24" s="254">
        <v>346000</v>
      </c>
      <c r="I24" s="254">
        <v>0</v>
      </c>
      <c r="J24" s="450" t="s">
        <v>4</v>
      </c>
    </row>
    <row r="25" spans="1:10" ht="15">
      <c r="A25" s="254" t="s">
        <v>783</v>
      </c>
      <c r="B25" s="254" t="s">
        <v>19</v>
      </c>
      <c r="C25" s="254" t="s">
        <v>784</v>
      </c>
      <c r="D25" s="254">
        <v>17131000</v>
      </c>
      <c r="E25" s="254">
        <v>83000</v>
      </c>
      <c r="F25" s="254">
        <v>17214000</v>
      </c>
      <c r="G25" s="254">
        <v>0</v>
      </c>
      <c r="H25" s="254">
        <v>17214000</v>
      </c>
      <c r="I25" s="254">
        <v>0</v>
      </c>
      <c r="J25" s="450" t="s">
        <v>4</v>
      </c>
    </row>
    <row r="26" spans="1:10" ht="15">
      <c r="A26" s="254" t="s">
        <v>785</v>
      </c>
      <c r="B26" s="254" t="s">
        <v>19</v>
      </c>
      <c r="C26" s="254" t="s">
        <v>786</v>
      </c>
      <c r="D26" s="254">
        <v>15550000</v>
      </c>
      <c r="E26" s="254">
        <v>1201000</v>
      </c>
      <c r="F26" s="254">
        <v>16751000</v>
      </c>
      <c r="G26" s="254">
        <v>0</v>
      </c>
      <c r="H26" s="254">
        <v>16751000</v>
      </c>
      <c r="I26" s="254">
        <v>0</v>
      </c>
      <c r="J26" s="450" t="s">
        <v>4</v>
      </c>
    </row>
    <row r="27" spans="1:10" ht="15">
      <c r="A27" s="254" t="s">
        <v>787</v>
      </c>
      <c r="B27" s="254" t="s">
        <v>19</v>
      </c>
      <c r="C27" s="254" t="s">
        <v>788</v>
      </c>
      <c r="D27" s="254">
        <v>10425934</v>
      </c>
      <c r="E27" s="254">
        <v>0</v>
      </c>
      <c r="F27" s="254">
        <v>10425934</v>
      </c>
      <c r="G27" s="254">
        <v>0</v>
      </c>
      <c r="H27" s="254">
        <v>10425934</v>
      </c>
      <c r="I27" s="254">
        <v>0</v>
      </c>
      <c r="J27" s="450" t="s">
        <v>4</v>
      </c>
    </row>
    <row r="28" spans="1:10" ht="15">
      <c r="A28" s="254" t="s">
        <v>789</v>
      </c>
      <c r="B28" s="254" t="s">
        <v>19</v>
      </c>
      <c r="C28" s="254" t="s">
        <v>790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450" t="s">
        <v>4</v>
      </c>
    </row>
    <row r="29" spans="1:10" ht="15">
      <c r="A29" s="254" t="s">
        <v>791</v>
      </c>
      <c r="B29" s="254" t="s">
        <v>19</v>
      </c>
      <c r="C29" s="254" t="s">
        <v>792</v>
      </c>
      <c r="D29" s="254">
        <v>28784889</v>
      </c>
      <c r="E29" s="254">
        <v>0</v>
      </c>
      <c r="F29" s="254">
        <v>28784889</v>
      </c>
      <c r="G29" s="254">
        <v>0</v>
      </c>
      <c r="H29" s="254">
        <v>28784889</v>
      </c>
      <c r="I29" s="254">
        <v>0</v>
      </c>
      <c r="J29" s="450" t="s">
        <v>4</v>
      </c>
    </row>
    <row r="30" spans="1:10" ht="15">
      <c r="A30" s="254" t="s">
        <v>793</v>
      </c>
      <c r="B30" s="254" t="s">
        <v>19</v>
      </c>
      <c r="C30" s="254" t="s">
        <v>794</v>
      </c>
      <c r="D30" s="254">
        <v>1402000</v>
      </c>
      <c r="E30" s="254">
        <v>0</v>
      </c>
      <c r="F30" s="254">
        <v>1402000</v>
      </c>
      <c r="G30" s="254">
        <v>0</v>
      </c>
      <c r="H30" s="254">
        <v>1402000</v>
      </c>
      <c r="I30" s="254">
        <v>0</v>
      </c>
      <c r="J30" s="450" t="s">
        <v>4</v>
      </c>
    </row>
    <row r="31" spans="1:10" ht="15">
      <c r="A31" s="254" t="s">
        <v>795</v>
      </c>
      <c r="B31" s="254" t="s">
        <v>19</v>
      </c>
      <c r="C31" s="254" t="s">
        <v>796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450" t="s">
        <v>4</v>
      </c>
    </row>
    <row r="32" spans="1:10" ht="15">
      <c r="A32" s="254" t="s">
        <v>797</v>
      </c>
      <c r="B32" s="254" t="s">
        <v>19</v>
      </c>
      <c r="C32" s="254" t="s">
        <v>798</v>
      </c>
      <c r="D32" s="254">
        <v>6181087</v>
      </c>
      <c r="E32" s="254">
        <v>0</v>
      </c>
      <c r="F32" s="254">
        <v>6181087</v>
      </c>
      <c r="G32" s="254">
        <v>0</v>
      </c>
      <c r="H32" s="254">
        <v>6181087</v>
      </c>
      <c r="I32" s="254">
        <v>0</v>
      </c>
      <c r="J32" s="450" t="s">
        <v>4</v>
      </c>
    </row>
    <row r="33" spans="1:10" ht="15">
      <c r="A33" s="254" t="s">
        <v>799</v>
      </c>
      <c r="B33" s="254" t="s">
        <v>19</v>
      </c>
      <c r="C33" s="254" t="s">
        <v>800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450" t="s">
        <v>4</v>
      </c>
    </row>
    <row r="34" spans="1:10" ht="15">
      <c r="A34" s="254" t="s">
        <v>801</v>
      </c>
      <c r="B34" s="254" t="s">
        <v>19</v>
      </c>
      <c r="C34" s="254" t="s">
        <v>802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450" t="s">
        <v>4</v>
      </c>
    </row>
    <row r="35" spans="1:10" ht="15">
      <c r="A35" s="254" t="s">
        <v>803</v>
      </c>
      <c r="B35" s="254" t="s">
        <v>19</v>
      </c>
      <c r="C35" s="254" t="s">
        <v>804</v>
      </c>
      <c r="D35" s="254">
        <v>15773000</v>
      </c>
      <c r="E35" s="254">
        <v>20833000</v>
      </c>
      <c r="F35" s="254">
        <v>36606000</v>
      </c>
      <c r="G35" s="254">
        <v>0</v>
      </c>
      <c r="H35" s="254">
        <v>36606000</v>
      </c>
      <c r="I35" s="254">
        <v>0</v>
      </c>
      <c r="J35" s="450" t="s">
        <v>4</v>
      </c>
    </row>
    <row r="36" spans="1:10" ht="15">
      <c r="A36" s="254" t="s">
        <v>805</v>
      </c>
      <c r="B36" s="254" t="s">
        <v>19</v>
      </c>
      <c r="C36" s="254" t="s">
        <v>806</v>
      </c>
      <c r="D36" s="254">
        <v>13096000</v>
      </c>
      <c r="E36" s="254">
        <v>0</v>
      </c>
      <c r="F36" s="254">
        <v>13096000</v>
      </c>
      <c r="G36" s="254">
        <v>0</v>
      </c>
      <c r="H36" s="254">
        <v>13096000</v>
      </c>
      <c r="I36" s="254">
        <v>0</v>
      </c>
      <c r="J36" s="450" t="s">
        <v>4</v>
      </c>
    </row>
    <row r="37" spans="1:10" ht="15">
      <c r="A37" s="254" t="s">
        <v>807</v>
      </c>
      <c r="B37" s="254" t="s">
        <v>19</v>
      </c>
      <c r="C37" s="254" t="s">
        <v>808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450" t="s">
        <v>4</v>
      </c>
    </row>
    <row r="38" spans="1:10" ht="15">
      <c r="A38" s="254" t="s">
        <v>809</v>
      </c>
      <c r="B38" s="254" t="s">
        <v>19</v>
      </c>
      <c r="C38" s="254" t="s">
        <v>810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450" t="s">
        <v>4</v>
      </c>
    </row>
    <row r="39" spans="1:10" ht="15">
      <c r="A39" s="254" t="s">
        <v>811</v>
      </c>
      <c r="B39" s="254" t="s">
        <v>19</v>
      </c>
      <c r="C39" s="254" t="s">
        <v>812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450" t="s">
        <v>4</v>
      </c>
    </row>
    <row r="40" spans="1:10" ht="15">
      <c r="A40" s="254" t="s">
        <v>813</v>
      </c>
      <c r="B40" s="254" t="s">
        <v>19</v>
      </c>
      <c r="C40" s="254" t="s">
        <v>814</v>
      </c>
      <c r="D40" s="254">
        <v>0</v>
      </c>
      <c r="E40" s="254">
        <v>0</v>
      </c>
      <c r="F40" s="254">
        <v>0</v>
      </c>
      <c r="G40" s="254">
        <v>1284000</v>
      </c>
      <c r="H40" s="254">
        <v>1284000</v>
      </c>
      <c r="I40" s="254">
        <v>0</v>
      </c>
      <c r="J40" s="450" t="s">
        <v>4</v>
      </c>
    </row>
    <row r="41" spans="1:10" ht="15">
      <c r="A41" s="254" t="s">
        <v>815</v>
      </c>
      <c r="B41" s="254" t="s">
        <v>19</v>
      </c>
      <c r="C41" s="254" t="s">
        <v>816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450" t="s">
        <v>4</v>
      </c>
    </row>
    <row r="42" spans="1:10" ht="15">
      <c r="A42" s="254" t="s">
        <v>817</v>
      </c>
      <c r="B42" s="254" t="s">
        <v>19</v>
      </c>
      <c r="C42" s="254" t="s">
        <v>818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450" t="s">
        <v>4</v>
      </c>
    </row>
    <row r="43" spans="1:10" ht="15">
      <c r="A43" s="254" t="s">
        <v>819</v>
      </c>
      <c r="B43" s="254" t="s">
        <v>19</v>
      </c>
      <c r="C43" s="254" t="s">
        <v>820</v>
      </c>
      <c r="D43" s="254">
        <v>44483298</v>
      </c>
      <c r="E43" s="254">
        <v>0</v>
      </c>
      <c r="F43" s="254">
        <v>44483298</v>
      </c>
      <c r="G43" s="254">
        <v>0</v>
      </c>
      <c r="H43" s="254">
        <v>44483298</v>
      </c>
      <c r="I43" s="254">
        <v>0</v>
      </c>
      <c r="J43" s="450" t="s">
        <v>4</v>
      </c>
    </row>
    <row r="44" spans="1:10" ht="15">
      <c r="A44" s="254" t="s">
        <v>821</v>
      </c>
      <c r="B44" s="254" t="s">
        <v>19</v>
      </c>
      <c r="C44" s="254" t="s">
        <v>822</v>
      </c>
      <c r="D44" s="254">
        <v>3147796</v>
      </c>
      <c r="E44" s="254">
        <v>0</v>
      </c>
      <c r="F44" s="254">
        <v>3147796</v>
      </c>
      <c r="G44" s="254">
        <v>0</v>
      </c>
      <c r="H44" s="254">
        <v>3147796</v>
      </c>
      <c r="I44" s="254">
        <v>0</v>
      </c>
      <c r="J44" s="450" t="s">
        <v>4</v>
      </c>
    </row>
    <row r="45" spans="1:10" ht="15">
      <c r="A45" s="254" t="s">
        <v>823</v>
      </c>
      <c r="B45" s="254" t="s">
        <v>19</v>
      </c>
      <c r="C45" s="254" t="s">
        <v>824</v>
      </c>
      <c r="D45" s="254">
        <v>159000</v>
      </c>
      <c r="E45" s="254">
        <v>0</v>
      </c>
      <c r="F45" s="254">
        <v>159000</v>
      </c>
      <c r="G45" s="254">
        <v>0</v>
      </c>
      <c r="H45" s="254">
        <v>159000</v>
      </c>
      <c r="I45" s="254">
        <v>0</v>
      </c>
      <c r="J45" s="450" t="s">
        <v>4</v>
      </c>
    </row>
    <row r="46" spans="1:10" ht="15">
      <c r="A46" s="254" t="s">
        <v>825</v>
      </c>
      <c r="B46" s="254" t="s">
        <v>19</v>
      </c>
      <c r="C46" s="254" t="s">
        <v>826</v>
      </c>
      <c r="D46" s="254">
        <v>0</v>
      </c>
      <c r="E46" s="254">
        <v>0</v>
      </c>
      <c r="F46" s="254">
        <v>0</v>
      </c>
      <c r="G46" s="254">
        <v>0</v>
      </c>
      <c r="H46" s="254">
        <v>0</v>
      </c>
      <c r="I46" s="254">
        <v>0</v>
      </c>
      <c r="J46" s="450" t="s">
        <v>4</v>
      </c>
    </row>
    <row r="47" spans="1:10" ht="15">
      <c r="A47" s="254" t="s">
        <v>827</v>
      </c>
      <c r="B47" s="254" t="s">
        <v>19</v>
      </c>
      <c r="C47" s="254" t="s">
        <v>828</v>
      </c>
      <c r="D47" s="254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450" t="s">
        <v>4</v>
      </c>
    </row>
    <row r="48" spans="1:10" ht="15">
      <c r="A48" s="254" t="s">
        <v>829</v>
      </c>
      <c r="B48" s="254" t="s">
        <v>19</v>
      </c>
      <c r="C48" s="254" t="s">
        <v>830</v>
      </c>
      <c r="D48" s="254">
        <v>0</v>
      </c>
      <c r="E48" s="254">
        <v>0</v>
      </c>
      <c r="F48" s="254">
        <v>0</v>
      </c>
      <c r="G48" s="254">
        <v>0</v>
      </c>
      <c r="H48" s="254">
        <v>0</v>
      </c>
      <c r="I48" s="254">
        <v>0</v>
      </c>
      <c r="J48" s="450" t="s">
        <v>4</v>
      </c>
    </row>
    <row r="49" spans="1:10" ht="15">
      <c r="A49" s="254" t="s">
        <v>831</v>
      </c>
      <c r="B49" s="254" t="s">
        <v>19</v>
      </c>
      <c r="C49" s="254" t="s">
        <v>832</v>
      </c>
      <c r="D49" s="254">
        <v>25000</v>
      </c>
      <c r="E49" s="254">
        <v>1000</v>
      </c>
      <c r="F49" s="254">
        <v>26000</v>
      </c>
      <c r="G49" s="254">
        <v>0</v>
      </c>
      <c r="H49" s="254">
        <v>26000</v>
      </c>
      <c r="I49" s="254">
        <v>0</v>
      </c>
      <c r="J49" s="450" t="s">
        <v>4</v>
      </c>
    </row>
    <row r="50" spans="1:10" ht="15">
      <c r="A50" s="254" t="s">
        <v>833</v>
      </c>
      <c r="B50" s="254" t="s">
        <v>19</v>
      </c>
      <c r="C50" s="254" t="s">
        <v>834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450" t="s">
        <v>4</v>
      </c>
    </row>
    <row r="51" spans="1:10" ht="15">
      <c r="A51" s="254" t="s">
        <v>835</v>
      </c>
      <c r="B51" s="254" t="s">
        <v>19</v>
      </c>
      <c r="C51" s="254" t="s">
        <v>836</v>
      </c>
      <c r="D51" s="254">
        <v>378000</v>
      </c>
      <c r="E51" s="254">
        <v>0</v>
      </c>
      <c r="F51" s="254">
        <v>378000</v>
      </c>
      <c r="G51" s="254">
        <v>0</v>
      </c>
      <c r="H51" s="254">
        <v>378000</v>
      </c>
      <c r="I51" s="254">
        <v>0</v>
      </c>
      <c r="J51" s="450" t="s">
        <v>4</v>
      </c>
    </row>
    <row r="52" spans="1:10" ht="15">
      <c r="A52" s="254" t="s">
        <v>837</v>
      </c>
      <c r="B52" s="254" t="s">
        <v>19</v>
      </c>
      <c r="C52" s="254" t="s">
        <v>838</v>
      </c>
      <c r="D52" s="254">
        <v>391000</v>
      </c>
      <c r="E52" s="254">
        <v>0</v>
      </c>
      <c r="F52" s="254">
        <v>391000</v>
      </c>
      <c r="G52" s="254">
        <v>0</v>
      </c>
      <c r="H52" s="254">
        <v>391000</v>
      </c>
      <c r="I52" s="254">
        <v>0</v>
      </c>
      <c r="J52" s="450" t="s">
        <v>4</v>
      </c>
    </row>
    <row r="53" spans="1:10" ht="15">
      <c r="A53" s="254" t="s">
        <v>839</v>
      </c>
      <c r="B53" s="254" t="s">
        <v>19</v>
      </c>
      <c r="C53" s="254" t="s">
        <v>840</v>
      </c>
      <c r="D53" s="254">
        <v>2096158</v>
      </c>
      <c r="E53" s="254">
        <v>0</v>
      </c>
      <c r="F53" s="254">
        <v>2096158</v>
      </c>
      <c r="G53" s="254">
        <v>0</v>
      </c>
      <c r="H53" s="254">
        <v>2096158</v>
      </c>
      <c r="I53" s="254">
        <v>0</v>
      </c>
      <c r="J53" s="450" t="s">
        <v>4</v>
      </c>
    </row>
    <row r="54" spans="1:10" ht="15">
      <c r="A54" s="254" t="s">
        <v>841</v>
      </c>
      <c r="B54" s="254" t="s">
        <v>19</v>
      </c>
      <c r="C54" s="254" t="s">
        <v>842</v>
      </c>
      <c r="D54" s="254">
        <v>10425934</v>
      </c>
      <c r="E54" s="254">
        <v>0</v>
      </c>
      <c r="F54" s="254">
        <v>10425934</v>
      </c>
      <c r="G54" s="254">
        <v>0</v>
      </c>
      <c r="H54" s="254">
        <v>10425934</v>
      </c>
      <c r="I54" s="254">
        <v>0</v>
      </c>
      <c r="J54" s="450" t="s">
        <v>4</v>
      </c>
    </row>
    <row r="55" spans="1:10" ht="15">
      <c r="A55" s="254" t="s">
        <v>843</v>
      </c>
      <c r="B55" s="254" t="s">
        <v>19</v>
      </c>
      <c r="C55" s="254" t="s">
        <v>844</v>
      </c>
      <c r="D55" s="254">
        <v>36367976</v>
      </c>
      <c r="E55" s="254">
        <v>0</v>
      </c>
      <c r="F55" s="254">
        <v>36367976</v>
      </c>
      <c r="G55" s="254">
        <v>0</v>
      </c>
      <c r="H55" s="254">
        <v>36367976</v>
      </c>
      <c r="I55" s="254">
        <v>0</v>
      </c>
      <c r="J55" s="450" t="s">
        <v>4</v>
      </c>
    </row>
    <row r="56" spans="1:10" ht="15">
      <c r="A56" s="254" t="s">
        <v>845</v>
      </c>
      <c r="B56" s="254" t="s">
        <v>19</v>
      </c>
      <c r="C56" s="254" t="s">
        <v>846</v>
      </c>
      <c r="D56" s="254">
        <v>4100796</v>
      </c>
      <c r="E56" s="254">
        <v>1000</v>
      </c>
      <c r="F56" s="254">
        <v>4101796</v>
      </c>
      <c r="G56" s="254">
        <v>0</v>
      </c>
      <c r="H56" s="254">
        <v>4101796</v>
      </c>
      <c r="I56" s="254">
        <v>0</v>
      </c>
      <c r="J56" s="450" t="s">
        <v>4</v>
      </c>
    </row>
    <row r="57" spans="1:10" ht="15">
      <c r="A57" s="254" t="s">
        <v>847</v>
      </c>
      <c r="B57" s="254" t="s">
        <v>19</v>
      </c>
      <c r="C57" s="254" t="s">
        <v>848</v>
      </c>
      <c r="D57" s="254">
        <v>140982093</v>
      </c>
      <c r="E57" s="254">
        <v>0</v>
      </c>
      <c r="F57" s="254">
        <v>140982093</v>
      </c>
      <c r="G57" s="254">
        <v>0</v>
      </c>
      <c r="H57" s="254">
        <v>140982093</v>
      </c>
      <c r="I57" s="254">
        <v>0</v>
      </c>
      <c r="J57" s="450" t="s">
        <v>4</v>
      </c>
    </row>
    <row r="58" spans="1:10" ht="15">
      <c r="A58" s="254" t="s">
        <v>849</v>
      </c>
      <c r="B58" s="254" t="s">
        <v>19</v>
      </c>
      <c r="C58" s="254" t="s">
        <v>850</v>
      </c>
      <c r="D58" s="254">
        <v>50892517</v>
      </c>
      <c r="E58" s="254">
        <v>0</v>
      </c>
      <c r="F58" s="254">
        <v>50892517</v>
      </c>
      <c r="G58" s="254">
        <v>0</v>
      </c>
      <c r="H58" s="254">
        <v>50892517</v>
      </c>
      <c r="I58" s="254">
        <v>0</v>
      </c>
      <c r="J58" s="450" t="s">
        <v>4</v>
      </c>
    </row>
    <row r="59" spans="1:10" ht="15">
      <c r="A59" s="254" t="s">
        <v>851</v>
      </c>
      <c r="B59" s="254" t="s">
        <v>19</v>
      </c>
      <c r="C59" s="254" t="s">
        <v>852</v>
      </c>
      <c r="D59" s="254">
        <v>372317772</v>
      </c>
      <c r="E59" s="254">
        <v>21692000</v>
      </c>
      <c r="F59" s="254">
        <v>394009772</v>
      </c>
      <c r="G59" s="254">
        <v>1284000</v>
      </c>
      <c r="H59" s="254">
        <v>395293772</v>
      </c>
      <c r="I59" s="254">
        <v>0</v>
      </c>
      <c r="J59" s="450" t="s">
        <v>4</v>
      </c>
    </row>
    <row r="60" spans="1:10" ht="15">
      <c r="A60" s="254" t="s">
        <v>853</v>
      </c>
      <c r="B60" s="254" t="s">
        <v>19</v>
      </c>
      <c r="C60" s="254" t="s">
        <v>854</v>
      </c>
      <c r="D60" s="254">
        <v>2438000</v>
      </c>
      <c r="E60" s="254">
        <v>146000</v>
      </c>
      <c r="F60" s="254">
        <v>2584000</v>
      </c>
      <c r="G60" s="254">
        <v>3000</v>
      </c>
      <c r="H60" s="254">
        <v>2587000</v>
      </c>
      <c r="I60" s="254">
        <v>0</v>
      </c>
      <c r="J60" s="450" t="s">
        <v>4</v>
      </c>
    </row>
    <row r="61" spans="1:10" ht="15">
      <c r="A61" s="254" t="s">
        <v>855</v>
      </c>
      <c r="B61" s="254" t="s">
        <v>19</v>
      </c>
      <c r="C61" s="254" t="s">
        <v>856</v>
      </c>
      <c r="D61" s="254">
        <v>528000</v>
      </c>
      <c r="E61" s="254">
        <v>54000</v>
      </c>
      <c r="F61" s="254">
        <v>582000</v>
      </c>
      <c r="G61" s="254">
        <v>2000</v>
      </c>
      <c r="H61" s="254">
        <v>584000</v>
      </c>
      <c r="I61" s="254">
        <v>0</v>
      </c>
      <c r="J61" s="450" t="s">
        <v>4</v>
      </c>
    </row>
    <row r="62" spans="1:10" ht="15">
      <c r="A62" s="254" t="s">
        <v>857</v>
      </c>
      <c r="B62" s="254" t="s">
        <v>19</v>
      </c>
      <c r="C62" s="254" t="s">
        <v>858</v>
      </c>
      <c r="D62" s="254">
        <v>183283000</v>
      </c>
      <c r="E62" s="254">
        <v>14084000</v>
      </c>
      <c r="F62" s="254">
        <v>197367000</v>
      </c>
      <c r="G62" s="254">
        <v>1114000</v>
      </c>
      <c r="H62" s="254">
        <v>198481000</v>
      </c>
      <c r="I62" s="254">
        <v>0</v>
      </c>
      <c r="J62" s="450" t="s">
        <v>4</v>
      </c>
    </row>
    <row r="63" spans="1:10" ht="15">
      <c r="A63" s="254" t="s">
        <v>859</v>
      </c>
      <c r="B63" s="254" t="s">
        <v>19</v>
      </c>
      <c r="C63" s="254" t="s">
        <v>860</v>
      </c>
      <c r="D63" s="254">
        <v>0</v>
      </c>
      <c r="E63" s="254">
        <v>0</v>
      </c>
      <c r="F63" s="254">
        <v>0</v>
      </c>
      <c r="G63" s="254">
        <v>0</v>
      </c>
      <c r="H63" s="254">
        <v>0</v>
      </c>
      <c r="I63" s="254">
        <v>0</v>
      </c>
      <c r="J63" s="450" t="s">
        <v>4</v>
      </c>
    </row>
    <row r="64" spans="1:10" ht="15">
      <c r="A64" s="254" t="s">
        <v>861</v>
      </c>
      <c r="B64" s="254" t="s">
        <v>19</v>
      </c>
      <c r="C64" s="254" t="s">
        <v>862</v>
      </c>
      <c r="D64" s="254">
        <v>372317772</v>
      </c>
      <c r="E64" s="254">
        <v>21692000</v>
      </c>
      <c r="F64" s="254">
        <v>394009772</v>
      </c>
      <c r="G64" s="254">
        <v>1284000</v>
      </c>
      <c r="H64" s="254">
        <v>395293772</v>
      </c>
      <c r="I64" s="254">
        <v>0</v>
      </c>
      <c r="J64" s="450" t="s">
        <v>4</v>
      </c>
    </row>
    <row r="65" spans="1:10" ht="15">
      <c r="A65" s="254" t="s">
        <v>863</v>
      </c>
      <c r="B65" s="254" t="s">
        <v>19</v>
      </c>
      <c r="C65" s="254" t="s">
        <v>864</v>
      </c>
      <c r="D65" s="254">
        <v>385883772</v>
      </c>
      <c r="E65" s="254">
        <v>22118000</v>
      </c>
      <c r="F65" s="254">
        <v>408001772</v>
      </c>
      <c r="G65" s="254">
        <v>1284000</v>
      </c>
      <c r="H65" s="254">
        <v>409285772</v>
      </c>
      <c r="I65" s="254">
        <v>0</v>
      </c>
      <c r="J65" s="450" t="s">
        <v>4</v>
      </c>
    </row>
    <row r="66" spans="1:10" ht="15">
      <c r="A66" s="254" t="s">
        <v>865</v>
      </c>
      <c r="B66" s="254" t="s">
        <v>19</v>
      </c>
      <c r="C66" s="254" t="s">
        <v>866</v>
      </c>
      <c r="D66" s="254">
        <v>385883772</v>
      </c>
      <c r="E66" s="254">
        <v>22118000</v>
      </c>
      <c r="F66" s="254">
        <v>408001772</v>
      </c>
      <c r="G66" s="254">
        <v>1284000</v>
      </c>
      <c r="H66" s="254">
        <v>409285772</v>
      </c>
      <c r="I66" s="254">
        <v>0</v>
      </c>
      <c r="J66" s="450" t="s">
        <v>4</v>
      </c>
    </row>
    <row r="67" spans="1:10" ht="15">
      <c r="A67" s="254" t="s">
        <v>867</v>
      </c>
      <c r="B67" s="254" t="s">
        <v>19</v>
      </c>
      <c r="C67" s="254" t="s">
        <v>868</v>
      </c>
      <c r="D67" s="254">
        <v>370333772</v>
      </c>
      <c r="E67" s="254">
        <v>20917000</v>
      </c>
      <c r="F67" s="254">
        <v>391250772</v>
      </c>
      <c r="G67" s="254">
        <v>1284000</v>
      </c>
      <c r="H67" s="254">
        <v>392534772</v>
      </c>
      <c r="I67" s="254">
        <v>0</v>
      </c>
      <c r="J67" s="450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3" sqref="E13"/>
    </sheetView>
  </sheetViews>
  <sheetFormatPr defaultColWidth="9.140625" defaultRowHeight="15"/>
  <sheetData>
    <row r="1" spans="1:4" ht="15">
      <c r="A1" s="254" t="s">
        <v>698</v>
      </c>
      <c r="B1" s="254" t="s">
        <v>700</v>
      </c>
      <c r="C1" s="254" t="s">
        <v>693</v>
      </c>
      <c r="D1" s="254" t="s">
        <v>869</v>
      </c>
    </row>
    <row r="2" spans="1:4" ht="15">
      <c r="A2" s="254"/>
      <c r="B2" s="254"/>
      <c r="C2" s="254"/>
      <c r="D2" s="254"/>
    </row>
    <row r="3" spans="1:4" ht="15">
      <c r="A3" s="254"/>
      <c r="B3" s="254"/>
      <c r="C3" s="254"/>
      <c r="D3" s="254"/>
    </row>
    <row r="4" spans="1:4" ht="15">
      <c r="A4" s="254"/>
      <c r="B4" s="254"/>
      <c r="C4" s="254"/>
      <c r="D4" s="254"/>
    </row>
    <row r="5" spans="1:4" ht="15">
      <c r="A5" s="254"/>
      <c r="B5" s="254"/>
      <c r="C5" s="254"/>
      <c r="D5" s="254"/>
    </row>
    <row r="6" spans="1:4" ht="15">
      <c r="A6" s="254"/>
      <c r="B6" s="254"/>
      <c r="C6" s="254"/>
      <c r="D6" s="254"/>
    </row>
    <row r="7" spans="1:4" ht="15">
      <c r="A7" s="254"/>
      <c r="B7" s="254"/>
      <c r="C7" s="254"/>
      <c r="D7" s="254"/>
    </row>
    <row r="8" spans="1:4" ht="15">
      <c r="A8" s="254"/>
      <c r="B8" s="254"/>
      <c r="C8" s="254"/>
      <c r="D8" s="25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30">
      <c r="A1" s="450" t="s">
        <v>870</v>
      </c>
      <c r="B1" s="450" t="s">
        <v>871</v>
      </c>
      <c r="C1" s="450" t="s">
        <v>872</v>
      </c>
      <c r="D1" s="450" t="s">
        <v>873</v>
      </c>
    </row>
    <row r="2" spans="1:4" ht="30">
      <c r="A2" s="450" t="s">
        <v>21</v>
      </c>
      <c r="B2" s="450" t="s">
        <v>874</v>
      </c>
      <c r="C2" s="450" t="s">
        <v>19</v>
      </c>
      <c r="D2" s="450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80" customWidth="1"/>
  </cols>
  <sheetData>
    <row r="1" ht="15">
      <c r="A1" s="80" t="s">
        <v>0</v>
      </c>
    </row>
    <row r="2" ht="15">
      <c r="A2" s="80" t="s">
        <v>3</v>
      </c>
    </row>
    <row r="3" ht="15">
      <c r="A3" s="80" t="s">
        <v>4</v>
      </c>
    </row>
    <row r="4" ht="15">
      <c r="A4" s="80" t="s">
        <v>5</v>
      </c>
    </row>
    <row r="5" ht="15">
      <c r="A5" s="80" t="s">
        <v>6</v>
      </c>
    </row>
    <row r="6" ht="15">
      <c r="A6" s="80" t="s">
        <v>7</v>
      </c>
    </row>
    <row r="7" ht="15">
      <c r="A7" s="80" t="s">
        <v>8</v>
      </c>
    </row>
    <row r="8" ht="15">
      <c r="A8" s="80" t="s">
        <v>9</v>
      </c>
    </row>
    <row r="9" ht="15">
      <c r="A9" s="80" t="s">
        <v>10</v>
      </c>
    </row>
    <row r="10" ht="15">
      <c r="A10" s="80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80" customWidth="1"/>
    <col min="4" max="4" width="14.57421875" style="80" bestFit="1" customWidth="1"/>
    <col min="5" max="5" width="9.140625" style="80" customWidth="1"/>
    <col min="6" max="6" width="17.00390625" style="80" bestFit="1" customWidth="1"/>
    <col min="7" max="7" width="19.7109375" style="80" bestFit="1" customWidth="1"/>
    <col min="8" max="8" width="17.8515625" style="80" customWidth="1"/>
    <col min="9" max="16384" width="9.140625" style="80" customWidth="1"/>
  </cols>
  <sheetData>
    <row r="1" spans="1:8" ht="15">
      <c r="A1" s="277" t="s">
        <v>12</v>
      </c>
      <c r="B1" s="277" t="s">
        <v>13</v>
      </c>
      <c r="C1" s="277" t="s">
        <v>14</v>
      </c>
      <c r="D1" s="277" t="s">
        <v>15</v>
      </c>
      <c r="E1" s="277" t="s">
        <v>16</v>
      </c>
      <c r="F1" s="277" t="s">
        <v>17</v>
      </c>
      <c r="G1" s="277" t="s">
        <v>18</v>
      </c>
      <c r="H1" s="332" t="s">
        <v>1</v>
      </c>
    </row>
    <row r="2" spans="1:8" ht="15">
      <c r="A2" s="277" t="s">
        <v>19</v>
      </c>
      <c r="B2" s="277" t="s">
        <v>20</v>
      </c>
      <c r="C2" s="277" t="s">
        <v>21</v>
      </c>
      <c r="D2" s="275" t="s">
        <v>22</v>
      </c>
      <c r="E2" s="276" t="s">
        <v>23</v>
      </c>
      <c r="F2" s="277" t="s">
        <v>24</v>
      </c>
      <c r="G2" s="277" t="s">
        <v>25</v>
      </c>
      <c r="H2" s="450" t="s">
        <v>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57421875" style="0" bestFit="1" customWidth="1"/>
  </cols>
  <sheetData>
    <row r="1" spans="1:2" ht="15">
      <c r="A1" t="s">
        <v>27</v>
      </c>
      <c r="B1" t="s">
        <v>28</v>
      </c>
    </row>
    <row r="2" spans="1:2" ht="15">
      <c r="A2" s="331" t="s">
        <v>26</v>
      </c>
      <c r="B2" s="118" t="s">
        <v>29</v>
      </c>
    </row>
    <row r="3" spans="1:2" ht="15">
      <c r="A3" s="331" t="s">
        <v>30</v>
      </c>
      <c r="B3" t="s">
        <v>31</v>
      </c>
    </row>
    <row r="4" spans="1:2" ht="15">
      <c r="A4" s="331" t="s">
        <v>32</v>
      </c>
      <c r="B4" t="s">
        <v>33</v>
      </c>
    </row>
    <row r="5" spans="1:2" ht="15">
      <c r="A5" s="331" t="s">
        <v>34</v>
      </c>
      <c r="B5" t="s">
        <v>35</v>
      </c>
    </row>
    <row r="6" spans="1:2" ht="15">
      <c r="A6" s="331" t="s">
        <v>36</v>
      </c>
      <c r="B6" t="s">
        <v>37</v>
      </c>
    </row>
    <row r="7" spans="1:2" ht="15">
      <c r="A7" s="331" t="s">
        <v>38</v>
      </c>
      <c r="B7" t="s">
        <v>39</v>
      </c>
    </row>
    <row r="8" spans="1:2" ht="15">
      <c r="A8" s="331" t="s">
        <v>40</v>
      </c>
      <c r="B8" t="s">
        <v>41</v>
      </c>
    </row>
    <row r="9" spans="1:2" ht="15">
      <c r="A9" s="331" t="s">
        <v>42</v>
      </c>
      <c r="B9" t="s">
        <v>43</v>
      </c>
    </row>
    <row r="10" spans="1:2" ht="15">
      <c r="A10" s="331" t="s">
        <v>44</v>
      </c>
      <c r="B10" t="s">
        <v>45</v>
      </c>
    </row>
    <row r="11" spans="1:2" ht="15">
      <c r="A11" s="331" t="s">
        <v>46</v>
      </c>
      <c r="B11" t="s">
        <v>47</v>
      </c>
    </row>
    <row r="12" spans="1:2" ht="15">
      <c r="A12" s="331" t="s">
        <v>48</v>
      </c>
      <c r="B12" t="s">
        <v>49</v>
      </c>
    </row>
    <row r="13" spans="1:2" ht="15">
      <c r="A13" s="331" t="s">
        <v>50</v>
      </c>
      <c r="B1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18.57421875" style="116" bestFit="1" customWidth="1"/>
    <col min="2" max="2" width="23.7109375" style="96" customWidth="1"/>
    <col min="3" max="3" width="9.140625" style="96" customWidth="1"/>
    <col min="4" max="4" width="12.421875" style="96" customWidth="1"/>
    <col min="5" max="8" width="9.140625" style="96" customWidth="1"/>
    <col min="9" max="9" width="3.421875" style="96" hidden="1" customWidth="1"/>
    <col min="10" max="10" width="3.00390625" style="96" hidden="1" customWidth="1"/>
    <col min="11" max="11" width="4.00390625" style="97" hidden="1" customWidth="1"/>
    <col min="12" max="12" width="58.28125" style="97" hidden="1" customWidth="1"/>
    <col min="13" max="16384" width="9.140625" style="96" hidden="1" customWidth="1"/>
  </cols>
  <sheetData>
    <row r="1" spans="1:8" ht="12.75">
      <c r="A1" s="93"/>
      <c r="B1" s="94"/>
      <c r="C1" s="94"/>
      <c r="D1" s="94"/>
      <c r="E1" s="94"/>
      <c r="F1" s="94"/>
      <c r="G1" s="94"/>
      <c r="H1" s="95"/>
    </row>
    <row r="2" spans="1:12" s="103" customFormat="1" ht="12.75">
      <c r="A2" s="98" t="s">
        <v>52</v>
      </c>
      <c r="B2" s="99" t="str">
        <f>ANAGR!$A$2</f>
        <v>702</v>
      </c>
      <c r="C2" s="100" t="str">
        <f>ANAGR!$B$2</f>
        <v>ASST SANTI PAOLO E CARLO</v>
      </c>
      <c r="D2" s="101"/>
      <c r="E2" s="101"/>
      <c r="F2" s="101"/>
      <c r="G2" s="101"/>
      <c r="H2" s="102"/>
      <c r="J2" s="104"/>
      <c r="K2" s="105"/>
      <c r="L2" s="105"/>
    </row>
    <row r="3" spans="1:10" ht="12.75">
      <c r="A3" s="98" t="s">
        <v>53</v>
      </c>
      <c r="B3" s="106" t="str">
        <f>ANAGR!$C$2</f>
        <v>2019</v>
      </c>
      <c r="C3" s="107"/>
      <c r="D3" s="107"/>
      <c r="E3" s="107"/>
      <c r="F3" s="107"/>
      <c r="G3" s="107"/>
      <c r="H3" s="108"/>
      <c r="J3" s="109"/>
    </row>
    <row r="4" spans="1:10" ht="12.75">
      <c r="A4" s="98"/>
      <c r="B4" s="107"/>
      <c r="C4" s="107"/>
      <c r="D4" s="107"/>
      <c r="E4" s="107"/>
      <c r="F4" s="107"/>
      <c r="G4" s="107"/>
      <c r="H4" s="108"/>
      <c r="J4" s="109"/>
    </row>
    <row r="5" spans="1:10" ht="12.75">
      <c r="A5" s="98" t="s">
        <v>54</v>
      </c>
      <c r="B5" s="106" t="str">
        <f>ANAGR!$D$2</f>
        <v>Flussi di cassa</v>
      </c>
      <c r="C5" s="110" t="s">
        <v>55</v>
      </c>
      <c r="D5" s="107"/>
      <c r="E5" s="107"/>
      <c r="F5" s="107"/>
      <c r="G5" s="107"/>
      <c r="H5" s="108"/>
      <c r="J5" s="109"/>
    </row>
    <row r="6" spans="1:10" ht="12.75">
      <c r="A6" s="98" t="s">
        <v>56</v>
      </c>
      <c r="B6" s="106" t="str">
        <f>IF(DECRETI!$J$2="",ASSEGN!$I$2,DECRETI!$J$2)</f>
        <v>V2</v>
      </c>
      <c r="C6" s="110"/>
      <c r="D6" s="107"/>
      <c r="E6" s="107"/>
      <c r="F6" s="107"/>
      <c r="G6" s="107"/>
      <c r="H6" s="108"/>
      <c r="J6" s="109"/>
    </row>
    <row r="7" spans="1:10" ht="12.75">
      <c r="A7" s="98"/>
      <c r="B7" s="107"/>
      <c r="C7" s="110"/>
      <c r="D7" s="107"/>
      <c r="E7" s="107"/>
      <c r="F7" s="107"/>
      <c r="G7" s="107"/>
      <c r="H7" s="108"/>
      <c r="J7" s="109"/>
    </row>
    <row r="8" spans="1:10" ht="12.75">
      <c r="A8" s="98" t="s">
        <v>57</v>
      </c>
      <c r="B8" s="112" t="s">
        <v>3</v>
      </c>
      <c r="C8" s="107"/>
      <c r="D8" s="107"/>
      <c r="E8" s="107"/>
      <c r="F8" s="107"/>
      <c r="G8" s="107"/>
      <c r="H8" s="108"/>
      <c r="J8" s="109"/>
    </row>
    <row r="9" spans="1:10" ht="12.75">
      <c r="A9" s="98" t="s">
        <v>58</v>
      </c>
      <c r="B9" s="400" t="s">
        <v>29</v>
      </c>
      <c r="C9" s="107"/>
      <c r="D9" s="107"/>
      <c r="E9" s="107"/>
      <c r="F9" s="107"/>
      <c r="G9" s="107"/>
      <c r="H9" s="108"/>
      <c r="J9" s="109"/>
    </row>
    <row r="10" spans="1:10" ht="12.75">
      <c r="A10" s="98" t="s">
        <v>59</v>
      </c>
      <c r="B10" s="413">
        <v>43565</v>
      </c>
      <c r="C10" s="111" t="s">
        <v>60</v>
      </c>
      <c r="D10" s="107"/>
      <c r="E10" s="107"/>
      <c r="F10" s="107"/>
      <c r="G10" s="107"/>
      <c r="H10" s="108"/>
      <c r="J10" s="109"/>
    </row>
    <row r="11" spans="1:10" ht="12.75">
      <c r="A11" s="98"/>
      <c r="B11" s="107"/>
      <c r="C11" s="107"/>
      <c r="D11" s="107"/>
      <c r="E11" s="107"/>
      <c r="F11" s="107"/>
      <c r="G11" s="107"/>
      <c r="H11" s="108"/>
      <c r="J11" s="109"/>
    </row>
    <row r="12" spans="1:10" ht="12.75">
      <c r="A12" s="98"/>
      <c r="B12" s="107"/>
      <c r="C12" s="107"/>
      <c r="D12" s="107"/>
      <c r="E12" s="107"/>
      <c r="F12" s="107"/>
      <c r="G12" s="107"/>
      <c r="H12" s="108"/>
      <c r="J12" s="109"/>
    </row>
    <row r="13" spans="1:10" ht="13.5" thickBot="1">
      <c r="A13" s="113"/>
      <c r="B13" s="114"/>
      <c r="C13" s="114"/>
      <c r="D13" s="114"/>
      <c r="E13" s="114"/>
      <c r="F13" s="114"/>
      <c r="G13" s="114"/>
      <c r="H13" s="115" t="s">
        <v>61</v>
      </c>
      <c r="J13" s="109"/>
    </row>
    <row r="14" spans="11:14" ht="12.75" hidden="1">
      <c r="K14" s="97">
        <v>311</v>
      </c>
      <c r="L14" s="97" t="s">
        <v>62</v>
      </c>
      <c r="N14" s="96" t="s">
        <v>63</v>
      </c>
    </row>
    <row r="15" spans="11:14" ht="12.75" hidden="1">
      <c r="K15" s="97">
        <v>312</v>
      </c>
      <c r="L15" s="97" t="s">
        <v>64</v>
      </c>
      <c r="N15" s="96" t="s">
        <v>65</v>
      </c>
    </row>
    <row r="16" spans="11:14" ht="12.75" hidden="1">
      <c r="K16" s="97">
        <v>313</v>
      </c>
      <c r="L16" s="97" t="s">
        <v>66</v>
      </c>
      <c r="N16" s="96" t="s">
        <v>67</v>
      </c>
    </row>
    <row r="17" spans="11:12" ht="12.75" hidden="1">
      <c r="K17" s="97">
        <v>314</v>
      </c>
      <c r="L17" s="97" t="s">
        <v>68</v>
      </c>
    </row>
    <row r="18" spans="11:12" ht="12.75" hidden="1">
      <c r="K18" s="97">
        <v>315</v>
      </c>
      <c r="L18" s="97" t="s">
        <v>69</v>
      </c>
    </row>
    <row r="19" spans="11:12" ht="12.75" hidden="1">
      <c r="K19" s="97">
        <v>951</v>
      </c>
      <c r="L19" s="97" t="s">
        <v>70</v>
      </c>
    </row>
    <row r="20" spans="11:12" ht="12.75" hidden="1">
      <c r="K20" s="97">
        <v>952</v>
      </c>
      <c r="L20" s="97" t="s">
        <v>71</v>
      </c>
    </row>
    <row r="21" spans="11:12" ht="12.75" hidden="1">
      <c r="K21" s="97">
        <v>953</v>
      </c>
      <c r="L21" s="97" t="s">
        <v>72</v>
      </c>
    </row>
    <row r="22" spans="11:12" ht="12.75" hidden="1">
      <c r="K22" s="97">
        <v>954</v>
      </c>
      <c r="L22" s="97" t="s">
        <v>73</v>
      </c>
    </row>
    <row r="23" spans="11:12" ht="12.75" hidden="1">
      <c r="K23" s="97">
        <v>955</v>
      </c>
      <c r="L23" s="97" t="s">
        <v>74</v>
      </c>
    </row>
    <row r="24" spans="11:12" ht="12.75" hidden="1">
      <c r="K24" s="97">
        <v>956</v>
      </c>
      <c r="L24" s="97" t="s">
        <v>75</v>
      </c>
    </row>
    <row r="25" spans="11:12" ht="12.75" hidden="1">
      <c r="K25" s="97">
        <v>957</v>
      </c>
      <c r="L25" s="97" t="s">
        <v>76</v>
      </c>
    </row>
    <row r="26" spans="11:12" ht="12.75" hidden="1">
      <c r="K26" s="97">
        <v>958</v>
      </c>
      <c r="L26" s="97" t="s">
        <v>77</v>
      </c>
    </row>
    <row r="27" spans="11:12" ht="12.75" hidden="1">
      <c r="K27" s="97">
        <v>959</v>
      </c>
      <c r="L27" s="97" t="s">
        <v>78</v>
      </c>
    </row>
    <row r="28" spans="11:12" ht="12.75" hidden="1">
      <c r="K28" s="97">
        <v>960</v>
      </c>
      <c r="L28" s="97" t="s">
        <v>79</v>
      </c>
    </row>
    <row r="29" spans="11:12" ht="12.75" hidden="1">
      <c r="K29" s="97">
        <v>962</v>
      </c>
      <c r="L29" s="97" t="s">
        <v>80</v>
      </c>
    </row>
    <row r="30" spans="11:12" ht="12.75" hidden="1">
      <c r="K30" s="97">
        <v>963</v>
      </c>
      <c r="L30" s="97" t="s">
        <v>81</v>
      </c>
    </row>
    <row r="31" spans="11:12" ht="12.75" hidden="1">
      <c r="K31" s="97">
        <v>964</v>
      </c>
      <c r="L31" s="97" t="s">
        <v>82</v>
      </c>
    </row>
    <row r="32" spans="11:12" ht="12.75" hidden="1">
      <c r="K32" s="97">
        <v>965</v>
      </c>
      <c r="L32" s="97" t="s">
        <v>83</v>
      </c>
    </row>
    <row r="33" spans="11:12" ht="12.75" hidden="1">
      <c r="K33" s="97">
        <v>966</v>
      </c>
      <c r="L33" s="97" t="s">
        <v>84</v>
      </c>
    </row>
    <row r="34" spans="11:12" ht="12.75" hidden="1">
      <c r="K34" s="97">
        <v>967</v>
      </c>
      <c r="L34" s="97" t="s">
        <v>85</v>
      </c>
    </row>
    <row r="35" spans="11:12" ht="12.75" hidden="1">
      <c r="K35" s="97">
        <v>968</v>
      </c>
      <c r="L35" s="97" t="s">
        <v>86</v>
      </c>
    </row>
    <row r="36" spans="11:12" ht="12.75" hidden="1">
      <c r="K36" s="97">
        <v>969</v>
      </c>
      <c r="L36" s="97" t="s">
        <v>87</v>
      </c>
    </row>
    <row r="37" spans="11:12" ht="12.75" hidden="1">
      <c r="K37" s="97">
        <v>970</v>
      </c>
      <c r="L37" s="97" t="s">
        <v>88</v>
      </c>
    </row>
    <row r="38" spans="11:12" ht="12.75" hidden="1">
      <c r="K38" s="97">
        <v>971</v>
      </c>
      <c r="L38" s="97" t="s">
        <v>89</v>
      </c>
    </row>
    <row r="39" spans="11:12" ht="12.75" hidden="1">
      <c r="K39" s="97">
        <v>972</v>
      </c>
      <c r="L39" s="97" t="s">
        <v>90</v>
      </c>
    </row>
    <row r="40" spans="11:12" ht="12.75" hidden="1">
      <c r="K40" s="97">
        <v>973</v>
      </c>
      <c r="L40" s="97" t="s">
        <v>91</v>
      </c>
    </row>
    <row r="41" spans="11:12" ht="12.75" hidden="1">
      <c r="K41" s="97">
        <v>974</v>
      </c>
      <c r="L41" s="97" t="s">
        <v>92</v>
      </c>
    </row>
    <row r="42" spans="11:12" ht="12.75" hidden="1">
      <c r="K42" s="97">
        <v>975</v>
      </c>
      <c r="L42" s="97" t="s">
        <v>93</v>
      </c>
    </row>
    <row r="43" spans="11:12" ht="12.75" hidden="1">
      <c r="K43" s="97">
        <v>976</v>
      </c>
      <c r="L43" s="97" t="s">
        <v>94</v>
      </c>
    </row>
    <row r="44" spans="11:12" ht="12.75" hidden="1">
      <c r="K44" s="97">
        <v>977</v>
      </c>
      <c r="L44" s="97" t="s">
        <v>95</v>
      </c>
    </row>
    <row r="45" spans="11:12" ht="12.75" hidden="1">
      <c r="K45" s="97">
        <v>978</v>
      </c>
      <c r="L45" s="97" t="s">
        <v>96</v>
      </c>
    </row>
    <row r="46" spans="11:12" ht="12.75" hidden="1">
      <c r="K46" s="97">
        <v>979</v>
      </c>
      <c r="L46" s="97" t="s">
        <v>97</v>
      </c>
    </row>
    <row r="47" spans="11:12" ht="12.75" hidden="1">
      <c r="K47" s="97">
        <v>980</v>
      </c>
      <c r="L47" s="97" t="s">
        <v>98</v>
      </c>
    </row>
    <row r="48" spans="11:12" ht="12.75" hidden="1">
      <c r="K48" s="97">
        <v>920</v>
      </c>
      <c r="L48" s="97" t="s">
        <v>99</v>
      </c>
    </row>
    <row r="49" spans="11:12" ht="12.75" hidden="1">
      <c r="K49" s="97">
        <v>922</v>
      </c>
      <c r="L49" s="97" t="s">
        <v>100</v>
      </c>
    </row>
    <row r="50" spans="11:12" ht="12.75" hidden="1">
      <c r="K50" s="97">
        <v>923</v>
      </c>
      <c r="L50" s="97" t="s">
        <v>101</v>
      </c>
    </row>
    <row r="51" spans="11:12" ht="12.75" hidden="1">
      <c r="K51" s="97">
        <v>924</v>
      </c>
      <c r="L51" s="97" t="s">
        <v>102</v>
      </c>
    </row>
    <row r="52" spans="11:12" ht="12.75" hidden="1">
      <c r="K52" s="97">
        <v>925</v>
      </c>
      <c r="L52" s="97" t="s">
        <v>103</v>
      </c>
    </row>
    <row r="53" spans="11:12" ht="12.75" hidden="1">
      <c r="K53" s="97" t="s">
        <v>104</v>
      </c>
      <c r="L53" s="117" t="s">
        <v>105</v>
      </c>
    </row>
    <row r="54" ht="12.75" hidden="1"/>
    <row r="55" ht="12.75" hidden="1"/>
  </sheetData>
  <sheetProtection password="A01C" sheet="1"/>
  <dataValidations count="3">
    <dataValidation allowBlank="1" showErrorMessage="1" prompt="INSERIRE LA DATA DI AGGIORNAMENTO" sqref="B10"/>
    <dataValidation type="list" allowBlank="1" showInputMessage="1" showErrorMessage="1" sqref="B8">
      <formula1>VERSIONI</formula1>
    </dataValidation>
    <dataValidation type="list" allowBlank="1" showInputMessage="1" showErrorMessage="1" sqref="B9">
      <formula1>MESI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zoomScale="90" zoomScaleNormal="90" zoomScalePageLayoutView="0" workbookViewId="0" topLeftCell="C1">
      <selection activeCell="E64" sqref="E64"/>
    </sheetView>
  </sheetViews>
  <sheetFormatPr defaultColWidth="9.140625" defaultRowHeight="15"/>
  <cols>
    <col min="1" max="1" width="21.57421875" style="0" hidden="1" customWidth="1"/>
    <col min="2" max="2" width="26.28125" style="0" hidden="1" customWidth="1"/>
    <col min="3" max="3" width="18.140625" style="0" customWidth="1"/>
    <col min="4" max="4" width="59.00390625" style="0" customWidth="1"/>
    <col min="5" max="5" width="12.140625" style="0" customWidth="1"/>
    <col min="6" max="6" width="16.140625" style="0" customWidth="1"/>
    <col min="7" max="7" width="14.7109375" style="0" customWidth="1"/>
    <col min="8" max="8" width="22.57421875" style="0" bestFit="1" customWidth="1"/>
    <col min="9" max="9" width="22.8515625" style="0" customWidth="1"/>
    <col min="11" max="11" width="10.8515625" style="0" hidden="1" customWidth="1"/>
  </cols>
  <sheetData>
    <row r="1" spans="1:11" ht="24" thickBot="1">
      <c r="A1" s="17"/>
      <c r="B1" s="17"/>
      <c r="C1" s="278" t="str">
        <f>"ASSEGNAZIONE "&amp;Info!$B$3&amp;"  - "&amp;Info!$B$6</f>
        <v>ASSEGNAZIONE 2019  - V2</v>
      </c>
      <c r="D1" s="278"/>
      <c r="E1" s="17"/>
      <c r="F1" s="17"/>
      <c r="G1" s="279"/>
      <c r="H1" s="279"/>
      <c r="I1" s="17"/>
      <c r="J1" s="17"/>
      <c r="K1" s="17"/>
    </row>
    <row r="2" spans="1:11" ht="15.75">
      <c r="A2" s="17"/>
      <c r="B2" s="17"/>
      <c r="C2" s="280"/>
      <c r="D2" s="281"/>
      <c r="E2" s="282"/>
      <c r="F2" s="282"/>
      <c r="G2" s="282"/>
      <c r="H2" s="282"/>
      <c r="I2" s="282"/>
      <c r="J2" s="17"/>
      <c r="K2" s="17"/>
    </row>
    <row r="3" spans="1:11" ht="24" thickBot="1">
      <c r="A3" s="17"/>
      <c r="B3" s="17"/>
      <c r="C3" s="283" t="str">
        <f>Info!$B$2</f>
        <v>702</v>
      </c>
      <c r="D3" s="299" t="str">
        <f>Info!$C$2</f>
        <v>ASST SANTI PAOLO E CARLO</v>
      </c>
      <c r="E3" s="284"/>
      <c r="F3" s="284"/>
      <c r="G3" s="284"/>
      <c r="H3" s="285" t="str">
        <f>Info!$B$2&amp;"_Scheda 1"</f>
        <v>702_Scheda 1</v>
      </c>
      <c r="I3" s="286"/>
      <c r="J3" s="17"/>
      <c r="K3" s="17"/>
    </row>
    <row r="4" spans="1:11" ht="15.75">
      <c r="A4" s="17"/>
      <c r="B4" s="17"/>
      <c r="C4" s="280"/>
      <c r="D4" s="281"/>
      <c r="E4" s="302">
        <v>4</v>
      </c>
      <c r="F4" s="302">
        <v>5</v>
      </c>
      <c r="G4" s="302"/>
      <c r="H4" s="302">
        <v>7</v>
      </c>
      <c r="I4" s="17"/>
      <c r="J4" s="17"/>
      <c r="K4" s="17"/>
    </row>
    <row r="5" spans="1:11" ht="31.5">
      <c r="A5" s="17"/>
      <c r="B5" s="17"/>
      <c r="C5" s="287"/>
      <c r="D5" s="288" t="s">
        <v>106</v>
      </c>
      <c r="E5" s="472" t="s">
        <v>107</v>
      </c>
      <c r="F5" s="473"/>
      <c r="G5" s="474"/>
      <c r="H5" s="298" t="s">
        <v>108</v>
      </c>
      <c r="I5" s="298" t="s">
        <v>109</v>
      </c>
      <c r="J5" s="17"/>
      <c r="K5" s="17"/>
    </row>
    <row r="6" spans="1:11" ht="38.25">
      <c r="A6" s="289"/>
      <c r="B6" s="290"/>
      <c r="C6" s="303"/>
      <c r="D6" s="304"/>
      <c r="E6" s="300" t="str">
        <f>"Preventivo "&amp;Info!$B$3&amp;" SANITARIO"</f>
        <v>Preventivo 2019 SANITARIO</v>
      </c>
      <c r="F6" s="300" t="str">
        <f>"Preventivo "&amp;Info!$B$3&amp;" TER"</f>
        <v>Preventivo 2019 TER</v>
      </c>
      <c r="G6" s="300" t="str">
        <f>"Preventivo "&amp;Info!$B$3&amp;" SAN + TER"</f>
        <v>Preventivo 2019 SAN + TER</v>
      </c>
      <c r="H6" s="300" t="str">
        <f>"Preventivo "&amp;Info!$B$3&amp;" AREU"</f>
        <v>Preventivo 2019 AREU</v>
      </c>
      <c r="I6" s="300" t="str">
        <f>"Preventivo "&amp;Info!$B$3&amp;" TOTALE"</f>
        <v>Preventivo 2019 TOTALE</v>
      </c>
      <c r="J6" s="17"/>
      <c r="K6" s="300" t="s">
        <v>110</v>
      </c>
    </row>
    <row r="7" spans="1:11" ht="15.75">
      <c r="A7" s="289"/>
      <c r="B7" s="290"/>
      <c r="C7" s="305" t="s">
        <v>111</v>
      </c>
      <c r="D7" s="314" t="s">
        <v>112</v>
      </c>
      <c r="E7" s="315"/>
      <c r="F7" s="315"/>
      <c r="G7" s="315"/>
      <c r="H7" s="315"/>
      <c r="I7" s="316"/>
      <c r="J7" s="17"/>
      <c r="K7" s="306"/>
    </row>
    <row r="8" spans="1:11" ht="15.75">
      <c r="A8" s="17"/>
      <c r="B8" s="17"/>
      <c r="C8" s="317"/>
      <c r="D8" s="318"/>
      <c r="E8" s="319"/>
      <c r="F8" s="319"/>
      <c r="G8" s="319"/>
      <c r="H8" s="319"/>
      <c r="I8" s="320"/>
      <c r="J8" s="17"/>
      <c r="K8" s="307"/>
    </row>
    <row r="9" spans="1:11" ht="15.75">
      <c r="A9" s="291" t="str">
        <f>+$C$3&amp;"_"&amp;B9&amp;"_"&amp;1</f>
        <v>702_A1TOT_1</v>
      </c>
      <c r="B9" s="17" t="s">
        <v>113</v>
      </c>
      <c r="C9" s="435" t="s">
        <v>114</v>
      </c>
      <c r="D9" s="436" t="s">
        <v>115</v>
      </c>
      <c r="E9" s="437">
        <f>SUM(E10:E13)</f>
        <v>95241298</v>
      </c>
      <c r="F9" s="438">
        <f>SUM(F10:F13)</f>
        <v>20833000</v>
      </c>
      <c r="G9" s="437">
        <f aca="true" t="shared" si="0" ref="G9:G15">+E9+F9</f>
        <v>116074298</v>
      </c>
      <c r="H9" s="437">
        <f>SUM(H10:H12)</f>
        <v>0</v>
      </c>
      <c r="I9" s="437">
        <f aca="true" t="shared" si="1" ref="I9:I15">+G9+H9</f>
        <v>116074298</v>
      </c>
      <c r="J9" s="17"/>
      <c r="K9" s="437">
        <f aca="true" t="shared" si="2" ref="K9:K15">+E9+H9-I9</f>
        <v>-20833000</v>
      </c>
    </row>
    <row r="10" spans="1:11" ht="38.25">
      <c r="A10" s="291" t="str">
        <f>+$C$3&amp;"_"&amp;B10&amp;"_"&amp;1</f>
        <v>702_AOIR14_1</v>
      </c>
      <c r="B10" s="292" t="s">
        <v>116</v>
      </c>
      <c r="C10" s="432"/>
      <c r="D10" s="433" t="s">
        <v>117</v>
      </c>
      <c r="E10" s="434">
        <f>IF(ISERROR(VLOOKUP($A10,DECRETI!$A$1:$Z$500,E$4,FALSE)),0,VLOOKUP($A10,DECRETI!$A$1:$Z$500,E$4,FALSE))</f>
        <v>44483298</v>
      </c>
      <c r="F10" s="434">
        <f>IF(ISERROR(VLOOKUP($A10,DECRETI!$A$1:$Z$500,F$4,FALSE)),0,VLOOKUP($A10,DECRETI!$A$1:$Z$500,F$4,FALSE))</f>
        <v>0</v>
      </c>
      <c r="G10" s="434">
        <f t="shared" si="0"/>
        <v>44483298</v>
      </c>
      <c r="H10" s="434">
        <f>IF(ISERROR(VLOOKUP($A10,DECRETI!$A$1:$Z$500,H$4,FALSE)),0,VLOOKUP($A10,DECRETI!$A$1:$Z$500,H$4,FALSE))</f>
        <v>0</v>
      </c>
      <c r="I10" s="434">
        <f t="shared" si="1"/>
        <v>44483298</v>
      </c>
      <c r="J10" s="17"/>
      <c r="K10" s="434">
        <f t="shared" si="2"/>
        <v>0</v>
      </c>
    </row>
    <row r="11" spans="1:11" ht="15.75">
      <c r="A11" s="291" t="str">
        <f>+$C$3&amp;"_"&amp;B11&amp;"_"&amp;1</f>
        <v>702_AOIR02_1</v>
      </c>
      <c r="B11" s="292" t="s">
        <v>118</v>
      </c>
      <c r="C11" s="321"/>
      <c r="D11" s="322" t="s">
        <v>119</v>
      </c>
      <c r="E11" s="301">
        <f>IF(ISERROR(VLOOKUP($A11,DECRETI!$A$1:$Z$500,E$4,FALSE)),0,VLOOKUP($A11,DECRETI!$A$1:$Z$500,E$4,FALSE))</f>
        <v>34985000</v>
      </c>
      <c r="F11" s="301">
        <f>IF(ISERROR(VLOOKUP($A11,DECRETI!$A$1:$Z$500,F$4,FALSE)),0,VLOOKUP($A11,DECRETI!$A$1:$Z$500,F$4,FALSE))</f>
        <v>0</v>
      </c>
      <c r="G11" s="301">
        <f t="shared" si="0"/>
        <v>34985000</v>
      </c>
      <c r="H11" s="301">
        <f>IF(ISERROR(VLOOKUP($A11,DECRETI!$A$1:$Z$500,H$4,FALSE)),0,VLOOKUP($A11,DECRETI!$A$1:$Z$500,H$4,FALSE))</f>
        <v>0</v>
      </c>
      <c r="I11" s="301">
        <f t="shared" si="1"/>
        <v>34985000</v>
      </c>
      <c r="J11" s="17"/>
      <c r="K11" s="301">
        <f t="shared" si="2"/>
        <v>0</v>
      </c>
    </row>
    <row r="12" spans="1:11" ht="15.75">
      <c r="A12" s="291" t="str">
        <f>+$C$3&amp;"_"&amp;B12&amp;"_"&amp;1</f>
        <v>702_AOIR11_1</v>
      </c>
      <c r="B12" s="292" t="s">
        <v>120</v>
      </c>
      <c r="C12" s="321"/>
      <c r="D12" s="322" t="s">
        <v>121</v>
      </c>
      <c r="E12" s="301">
        <f>IF(ISERROR(VLOOKUP($A12,DECRETI!$A$1:$Z$500,E$4,FALSE)),0,VLOOKUP($A12,DECRETI!$A$1:$Z$500,E$4,FALSE))</f>
        <v>15773000</v>
      </c>
      <c r="F12" s="301">
        <f>IF(ISERROR(VLOOKUP($A12,DECRETI!$A$1:$Z$500,F$4,FALSE)),0,VLOOKUP($A12,DECRETI!$A$1:$Z$500,F$4,FALSE))</f>
        <v>20833000</v>
      </c>
      <c r="G12" s="301">
        <f t="shared" si="0"/>
        <v>36606000</v>
      </c>
      <c r="H12" s="301">
        <f>IF(ISERROR(VLOOKUP($A12,DECRETI!$A$1:$Z$500,H$4,FALSE)),0,VLOOKUP($A12,DECRETI!$A$1:$Z$500,H$4,FALSE))</f>
        <v>0</v>
      </c>
      <c r="I12" s="301">
        <f t="shared" si="1"/>
        <v>36606000</v>
      </c>
      <c r="J12" s="17"/>
      <c r="K12" s="301">
        <f t="shared" si="2"/>
        <v>-20833000</v>
      </c>
    </row>
    <row r="13" spans="1:11" ht="25.5">
      <c r="A13" s="291" t="str">
        <f>+$C$3&amp;"_"&amp;B13&amp;"_"&amp;4</f>
        <v>702_AOIR11_4</v>
      </c>
      <c r="B13" s="292" t="s">
        <v>120</v>
      </c>
      <c r="C13" s="439"/>
      <c r="D13" s="395" t="s">
        <v>122</v>
      </c>
      <c r="E13" s="417">
        <f>IF(ISERROR(VLOOKUP($A13,DECRETI!$A$1:$Z$500,E$4,FALSE)),0,VLOOKUP($A13,DECRETI!$A$1:$Z$500,E$4,FALSE))</f>
        <v>0</v>
      </c>
      <c r="F13" s="417">
        <f>IF(ISERROR(VLOOKUP($A13,DECRETI!$A$1:$Z$500,F$4,FALSE)),0,VLOOKUP($A13,DECRETI!$A$1:$Z$500,F$4,FALSE))</f>
        <v>0</v>
      </c>
      <c r="G13" s="417">
        <f>+E13+F13</f>
        <v>0</v>
      </c>
      <c r="H13" s="417">
        <f>IF(ISERROR(VLOOKUP($A13,DECRETI!$A$1:$Z$500,H$4,FALSE)),0,VLOOKUP($A13,DECRETI!$A$1:$Z$500,H$4,FALSE))</f>
        <v>0</v>
      </c>
      <c r="I13" s="417">
        <f>+G13+H13</f>
        <v>0</v>
      </c>
      <c r="J13" s="17"/>
      <c r="K13" s="417"/>
    </row>
    <row r="14" spans="1:11" ht="15.75">
      <c r="A14" s="291" t="str">
        <f>+$C$3&amp;"_"&amp;B14&amp;"_"&amp;2</f>
        <v>702_AOIR11_2</v>
      </c>
      <c r="B14" s="292" t="s">
        <v>120</v>
      </c>
      <c r="C14" s="435" t="s">
        <v>123</v>
      </c>
      <c r="D14" s="304" t="s">
        <v>124</v>
      </c>
      <c r="E14" s="437">
        <f>IF(ISERROR(VLOOKUP($A14,DECRETI!$A$1:$Z$500,E$4,FALSE)),0,VLOOKUP($A14,DECRETI!$A$1:$Z$500,E$4,FALSE))</f>
        <v>13096000</v>
      </c>
      <c r="F14" s="308">
        <f>IF(ISERROR(VLOOKUP($A14,DECRETI!$A$1:$Z$500,F$4,FALSE)),0,VLOOKUP($A14,DECRETI!$A$1:$Z$500,F$4,FALSE))</f>
        <v>0</v>
      </c>
      <c r="G14" s="437">
        <f t="shared" si="0"/>
        <v>13096000</v>
      </c>
      <c r="H14" s="437">
        <f>IF(ISERROR(VLOOKUP($A14,DECRETI!$A$1:$Z$500,H$4,FALSE)),0,VLOOKUP($A14,DECRETI!$A$1:$Z$500,H$4,FALSE))</f>
        <v>0</v>
      </c>
      <c r="I14" s="437">
        <f t="shared" si="1"/>
        <v>13096000</v>
      </c>
      <c r="J14" s="17"/>
      <c r="K14" s="437">
        <f t="shared" si="2"/>
        <v>0</v>
      </c>
    </row>
    <row r="15" spans="1:11" ht="15.75">
      <c r="A15" s="291" t="str">
        <f>+$C$3&amp;"_"&amp;B15&amp;"_"&amp;3</f>
        <v>702_AOIR11_3</v>
      </c>
      <c r="B15" s="292" t="s">
        <v>120</v>
      </c>
      <c r="C15" s="435" t="s">
        <v>125</v>
      </c>
      <c r="D15" s="304" t="s">
        <v>126</v>
      </c>
      <c r="E15" s="437">
        <f>IF(ISERROR(VLOOKUP($A15,DECRETI!$A$1:$Z$500,E$4,FALSE)),0,VLOOKUP($A15,DECRETI!$A$1:$Z$500,E$4,FALSE))</f>
        <v>0</v>
      </c>
      <c r="F15" s="308">
        <f>IF(ISERROR(VLOOKUP($A15,DECRETI!$A$1:$Z$500,F$4,FALSE)),0,VLOOKUP($A15,DECRETI!$A$1:$Z$500,F$4,FALSE))</f>
        <v>0</v>
      </c>
      <c r="G15" s="437">
        <f t="shared" si="0"/>
        <v>0</v>
      </c>
      <c r="H15" s="437">
        <f>IF(ISERROR(VLOOKUP($A15,DECRETI!$A$1:$Z$500,H$4,FALSE)),0,VLOOKUP($A15,DECRETI!$A$1:$Z$500,H$4,FALSE))</f>
        <v>0</v>
      </c>
      <c r="I15" s="437">
        <f t="shared" si="1"/>
        <v>0</v>
      </c>
      <c r="J15" s="17"/>
      <c r="K15" s="437">
        <f t="shared" si="2"/>
        <v>0</v>
      </c>
    </row>
    <row r="16" spans="1:11" ht="15.75">
      <c r="A16" s="17"/>
      <c r="B16" s="17"/>
      <c r="C16" s="317"/>
      <c r="D16" s="318"/>
      <c r="E16" s="319"/>
      <c r="F16" s="319"/>
      <c r="G16" s="319"/>
      <c r="H16" s="319"/>
      <c r="I16" s="320"/>
      <c r="J16" s="17"/>
      <c r="K16" s="308"/>
    </row>
    <row r="17" spans="1:11" ht="15.75">
      <c r="A17" s="289"/>
      <c r="B17" s="290"/>
      <c r="C17" s="305" t="s">
        <v>127</v>
      </c>
      <c r="D17" s="314" t="s">
        <v>128</v>
      </c>
      <c r="E17" s="315"/>
      <c r="F17" s="315"/>
      <c r="G17" s="315"/>
      <c r="H17" s="315"/>
      <c r="I17" s="316"/>
      <c r="J17" s="17"/>
      <c r="K17" s="306"/>
    </row>
    <row r="18" spans="1:11" ht="15.75">
      <c r="A18" s="17"/>
      <c r="B18" s="17"/>
      <c r="C18" s="317"/>
      <c r="D18" s="318"/>
      <c r="E18" s="319"/>
      <c r="F18" s="319"/>
      <c r="G18" s="319"/>
      <c r="H18" s="319"/>
      <c r="I18" s="320"/>
      <c r="J18" s="17"/>
      <c r="K18" s="307"/>
    </row>
    <row r="19" spans="1:11" ht="15.75">
      <c r="A19" s="291" t="str">
        <f>+$C$3&amp;"_"&amp;B19&amp;"_"&amp;1</f>
        <v>702_AOIR12_1</v>
      </c>
      <c r="B19" s="292" t="s">
        <v>129</v>
      </c>
      <c r="C19" s="435" t="s">
        <v>130</v>
      </c>
      <c r="D19" s="304" t="s">
        <v>131</v>
      </c>
      <c r="E19" s="437">
        <f>IF(ISERROR(VLOOKUP($A19,DECRETI!$A$1:$Z$500,E$4,FALSE)),0,VLOOKUP($A19,DECRETI!$A$1:$Z$500,E$4,FALSE))</f>
        <v>0</v>
      </c>
      <c r="F19" s="308">
        <f>IF(ISERROR(VLOOKUP($A19,DECRETI!$A$1:$Z$500,F$4,FALSE)),0,VLOOKUP($A19,DECRETI!$A$1:$Z$500,F$4,FALSE))</f>
        <v>0</v>
      </c>
      <c r="G19" s="437">
        <f>+E19+F19</f>
        <v>0</v>
      </c>
      <c r="H19" s="437">
        <f>IF(ISERROR(VLOOKUP($A19,DECRETI!$A$1:$Z$500,H$4,FALSE)),0,VLOOKUP($A19,DECRETI!$A$1:$Z$500,H$4,FALSE))</f>
        <v>1284000</v>
      </c>
      <c r="I19" s="437">
        <f>+G19+H19</f>
        <v>1284000</v>
      </c>
      <c r="J19" s="17"/>
      <c r="K19" s="437">
        <f>+E19+H19-I19</f>
        <v>0</v>
      </c>
    </row>
    <row r="20" spans="1:11" ht="15.75">
      <c r="A20" s="291" t="str">
        <f>+$C$3&amp;"_"&amp;B20&amp;"_"&amp;1</f>
        <v>702_AOIR06_1</v>
      </c>
      <c r="B20" s="292" t="s">
        <v>132</v>
      </c>
      <c r="C20" s="435" t="s">
        <v>133</v>
      </c>
      <c r="D20" s="436" t="s">
        <v>134</v>
      </c>
      <c r="E20" s="437">
        <f>IF(ISERROR(VLOOKUP($A20,DECRETI!$A$1:$Z$500,E$4,FALSE)),0,VLOOKUP($A20,DECRETI!$A$1:$Z$500,E$4,FALSE))</f>
        <v>17131000</v>
      </c>
      <c r="F20" s="308">
        <f>IF(ISERROR(VLOOKUP($A20,DECRETI!$A$1:$Z$500,F$4,FALSE)),0,VLOOKUP($A20,DECRETI!$A$1:$Z$500,F$4,FALSE))</f>
        <v>83000</v>
      </c>
      <c r="G20" s="437">
        <f>+E20+F20</f>
        <v>17214000</v>
      </c>
      <c r="H20" s="437">
        <f>IF(ISERROR(VLOOKUP($A20,DECRETI!$A$1:$Z$500,H$4,FALSE)),0,VLOOKUP($A20,DECRETI!$A$1:$Z$500,H$4,FALSE))</f>
        <v>0</v>
      </c>
      <c r="I20" s="437">
        <f>+G20+H20</f>
        <v>17214000</v>
      </c>
      <c r="J20" s="17"/>
      <c r="K20" s="437">
        <f>+E20+H20-I20</f>
        <v>-83000</v>
      </c>
    </row>
    <row r="21" spans="1:11" ht="15.75">
      <c r="A21" s="291" t="str">
        <f>+$C$3&amp;"_"&amp;B21&amp;"_"&amp;1</f>
        <v>702_AOIR13_1</v>
      </c>
      <c r="B21" s="292" t="s">
        <v>135</v>
      </c>
      <c r="C21" s="435" t="s">
        <v>136</v>
      </c>
      <c r="D21" s="436" t="s">
        <v>137</v>
      </c>
      <c r="E21" s="437">
        <f>IF(ISERROR(VLOOKUP($A21,DECRETI!$A$1:$Z$500,E$4,FALSE)),0,VLOOKUP($A21,DECRETI!$A$1:$Z$500,E$4,FALSE))</f>
        <v>0</v>
      </c>
      <c r="F21" s="308">
        <f>IF(ISERROR(VLOOKUP($A21,DECRETI!$A$1:$Z$500,F$4,FALSE)),0,VLOOKUP($A21,DECRETI!$A$1:$Z$500,F$4,FALSE))</f>
        <v>0</v>
      </c>
      <c r="G21" s="437">
        <f>+E21+F21</f>
        <v>0</v>
      </c>
      <c r="H21" s="437">
        <f>IF(ISERROR(VLOOKUP($A21,DECRETI!$A$1:$Z$500,H$4,FALSE)),0,VLOOKUP($A21,DECRETI!$A$1:$Z$500,H$4,FALSE))</f>
        <v>0</v>
      </c>
      <c r="I21" s="437">
        <f>+G21+H21</f>
        <v>0</v>
      </c>
      <c r="J21" s="17"/>
      <c r="K21" s="437">
        <f>+E21+H21-I21</f>
        <v>0</v>
      </c>
    </row>
    <row r="22" spans="1:11" ht="15.75">
      <c r="A22" s="291" t="str">
        <f>+$C$3&amp;"_"&amp;B22&amp;"_"&amp;1</f>
        <v>702_AOIR10_1</v>
      </c>
      <c r="B22" s="292" t="s">
        <v>138</v>
      </c>
      <c r="C22" s="435" t="s">
        <v>139</v>
      </c>
      <c r="D22" s="436" t="s">
        <v>140</v>
      </c>
      <c r="E22" s="437">
        <f>IF(ISERROR(VLOOKUP($A22,DECRETI!$A$1:$Z$500,E$4,FALSE)),0,VLOOKUP($A22,DECRETI!$A$1:$Z$500,E$4,FALSE))</f>
        <v>0</v>
      </c>
      <c r="F22" s="308">
        <f>IF(ISERROR(VLOOKUP($A22,DECRETI!$A$1:$Z$500,F$4,FALSE)),0,VLOOKUP($A22,DECRETI!$A$1:$Z$500,F$4,FALSE))</f>
        <v>0</v>
      </c>
      <c r="G22" s="437">
        <f>+E22+F22</f>
        <v>0</v>
      </c>
      <c r="H22" s="437">
        <f>IF(ISERROR(VLOOKUP($A22,DECRETI!$A$1:$Z$500,H$4,FALSE)),0,VLOOKUP($A22,DECRETI!$A$1:$Z$500,H$4,FALSE))</f>
        <v>0</v>
      </c>
      <c r="I22" s="437">
        <f>+G22+H22</f>
        <v>0</v>
      </c>
      <c r="J22" s="17"/>
      <c r="K22" s="437">
        <f>+E22+H22-I22</f>
        <v>0</v>
      </c>
    </row>
    <row r="23" spans="1:11" ht="15.75">
      <c r="A23" s="17"/>
      <c r="B23" s="17"/>
      <c r="C23" s="317"/>
      <c r="D23" s="318"/>
      <c r="E23" s="319"/>
      <c r="F23" s="319"/>
      <c r="G23" s="319"/>
      <c r="H23" s="319"/>
      <c r="I23" s="320"/>
      <c r="J23" s="17"/>
      <c r="K23" s="308"/>
    </row>
    <row r="24" spans="1:11" ht="15.75">
      <c r="A24" s="289"/>
      <c r="B24" s="290"/>
      <c r="C24" s="305" t="s">
        <v>141</v>
      </c>
      <c r="D24" s="314" t="s">
        <v>142</v>
      </c>
      <c r="E24" s="381">
        <f>E26+E32+E38+E41+E44+E50</f>
        <v>244865474</v>
      </c>
      <c r="F24" s="315"/>
      <c r="G24" s="315"/>
      <c r="H24" s="315"/>
      <c r="I24" s="316"/>
      <c r="J24" s="17"/>
      <c r="K24" s="306"/>
    </row>
    <row r="25" spans="1:11" ht="15.75">
      <c r="A25" s="17"/>
      <c r="B25" s="17"/>
      <c r="C25" s="317"/>
      <c r="D25" s="318"/>
      <c r="E25" s="319"/>
      <c r="F25" s="319"/>
      <c r="G25" s="319"/>
      <c r="H25" s="319"/>
      <c r="I25" s="320"/>
      <c r="J25" s="17"/>
      <c r="K25" s="307"/>
    </row>
    <row r="26" spans="1:11" ht="15.75">
      <c r="A26" s="291" t="str">
        <f>+$C$3&amp;"_"&amp;B26&amp;"_"&amp;1</f>
        <v>702_C8TOT_1</v>
      </c>
      <c r="B26" s="17" t="s">
        <v>143</v>
      </c>
      <c r="C26" s="435" t="s">
        <v>144</v>
      </c>
      <c r="D26" s="304" t="s">
        <v>145</v>
      </c>
      <c r="E26" s="437">
        <f>SUM(E27:E31)</f>
        <v>140982093</v>
      </c>
      <c r="F26" s="308">
        <f>SUM(F27:F31)</f>
        <v>0</v>
      </c>
      <c r="G26" s="437">
        <f aca="true" t="shared" si="3" ref="G26:G59">+E26+F26</f>
        <v>140982093</v>
      </c>
      <c r="H26" s="437">
        <f>SUM(H27:H31)</f>
        <v>0</v>
      </c>
      <c r="I26" s="437">
        <f aca="true" t="shared" si="4" ref="I26:I43">+G26+H26</f>
        <v>140982093</v>
      </c>
      <c r="J26" s="17"/>
      <c r="K26" s="437">
        <f aca="true" t="shared" si="5" ref="K26:K32">+E26+H26-I26</f>
        <v>0</v>
      </c>
    </row>
    <row r="27" spans="1:11" ht="15.75">
      <c r="A27" s="291" t="str">
        <f>+$C$3&amp;"_"&amp;B27&amp;"_"&amp;1</f>
        <v>702_AOIR01_1</v>
      </c>
      <c r="B27" s="292" t="s">
        <v>146</v>
      </c>
      <c r="C27" s="440"/>
      <c r="D27" s="441" t="s">
        <v>147</v>
      </c>
      <c r="E27" s="434">
        <f>IF(ISERROR(VLOOKUP($A27,DECRETI!$A$1:$Z$500,E$4,FALSE)),0,VLOOKUP($A27,DECRETI!$A$1:$Z$500,E$4,FALSE))</f>
        <v>124816332</v>
      </c>
      <c r="F27" s="434">
        <f>IF(ISERROR(VLOOKUP($A27,DECRETI!$A$1:$Z$500,F$4,FALSE)),0,VLOOKUP($A27,DECRETI!$A$1:$Z$500,F$4,FALSE))</f>
        <v>0</v>
      </c>
      <c r="G27" s="434">
        <f t="shared" si="3"/>
        <v>124816332</v>
      </c>
      <c r="H27" s="434">
        <f>IF(ISERROR(VLOOKUP($A27,DECRETI!$A$1:$Z$500,H$4,FALSE)),0,VLOOKUP($A27,DECRETI!$A$1:$Z$500,H$4,FALSE))</f>
        <v>0</v>
      </c>
      <c r="I27" s="434">
        <f t="shared" si="4"/>
        <v>124816332</v>
      </c>
      <c r="J27" s="17"/>
      <c r="K27" s="434">
        <f t="shared" si="5"/>
        <v>0</v>
      </c>
    </row>
    <row r="28" spans="1:11" s="397" customFormat="1" ht="15.75">
      <c r="A28" s="291" t="str">
        <f>+$C$3&amp;"_"&amp;B28&amp;"_"&amp;6</f>
        <v>702_AOIR01_6</v>
      </c>
      <c r="B28" s="292" t="s">
        <v>146</v>
      </c>
      <c r="C28" s="440"/>
      <c r="D28" s="441" t="s">
        <v>148</v>
      </c>
      <c r="E28" s="434">
        <f>IF(ISERROR(VLOOKUP($A28,DECRETI!$A$1:$Z$500,E$4,FALSE)),0,VLOOKUP($A28,DECRETI!$A$1:$Z$500,E$4,FALSE))</f>
        <v>1412000</v>
      </c>
      <c r="F28" s="434">
        <f>IF(ISERROR(VLOOKUP($A28,DECRETI!$A$1:$Z$500,F$4,FALSE)),0,VLOOKUP($A28,DECRETI!$A$1:$Z$500,F$4,FALSE))</f>
        <v>0</v>
      </c>
      <c r="G28" s="434">
        <f>+E28+F28</f>
        <v>1412000</v>
      </c>
      <c r="H28" s="434">
        <f>IF(ISERROR(VLOOKUP($A28,DECRETI!$A$1:$Z$500,H$4,FALSE)),0,VLOOKUP($A28,DECRETI!$A$1:$Z$500,H$4,FALSE))</f>
        <v>0</v>
      </c>
      <c r="I28" s="434">
        <f>+G28+H28</f>
        <v>1412000</v>
      </c>
      <c r="J28" s="17"/>
      <c r="K28" s="434"/>
    </row>
    <row r="29" spans="1:11" ht="15.75">
      <c r="A29" s="291" t="str">
        <f>+$C$3&amp;"_"&amp;B29&amp;"_"&amp;5</f>
        <v>702_AOIR01_5</v>
      </c>
      <c r="B29" s="292" t="s">
        <v>146</v>
      </c>
      <c r="C29" s="323"/>
      <c r="D29" s="325" t="s">
        <v>149</v>
      </c>
      <c r="E29" s="301">
        <f>IF(ISERROR(VLOOKUP($A29,DECRETI!$A$1:$Z$500,E$4,FALSE)),0,VLOOKUP($A29,DECRETI!$A$1:$Z$500,E$4,FALSE))</f>
        <v>9056697</v>
      </c>
      <c r="F29" s="301">
        <f>IF(ISERROR(VLOOKUP($A29,DECRETI!$A$1:$Z$500,F$4,FALSE)),0,VLOOKUP($A29,DECRETI!$A$1:$Z$500,F$4,FALSE))</f>
        <v>0</v>
      </c>
      <c r="G29" s="301">
        <f t="shared" si="3"/>
        <v>9056697</v>
      </c>
      <c r="H29" s="301">
        <f>IF(ISERROR(VLOOKUP($A29,DECRETI!$A$1:$Z$500,H$4,FALSE)),0,VLOOKUP($A29,DECRETI!$A$1:$Z$500,H$4,FALSE))</f>
        <v>0</v>
      </c>
      <c r="I29" s="301">
        <f t="shared" si="4"/>
        <v>9056697</v>
      </c>
      <c r="J29" s="17"/>
      <c r="K29" s="301">
        <f t="shared" si="5"/>
        <v>0</v>
      </c>
    </row>
    <row r="30" spans="1:11" ht="15.75">
      <c r="A30" s="291" t="str">
        <f>+$C$3&amp;"_"&amp;B30&amp;"_"&amp;2</f>
        <v>702_AOIR01_2</v>
      </c>
      <c r="B30" s="292" t="s">
        <v>146</v>
      </c>
      <c r="C30" s="323"/>
      <c r="D30" s="325" t="s">
        <v>150</v>
      </c>
      <c r="E30" s="301">
        <f>IF(ISERROR(VLOOKUP($A30,DECRETI!$A$1:$Z$500,E$4,FALSE)),0,VLOOKUP($A30,DECRETI!$A$1:$Z$500,E$4,FALSE))</f>
        <v>5417000</v>
      </c>
      <c r="F30" s="301">
        <f>IF(ISERROR(VLOOKUP($A30,DECRETI!$A$1:$Z$500,F$4,FALSE)),0,VLOOKUP($A30,DECRETI!$A$1:$Z$500,F$4,FALSE))</f>
        <v>0</v>
      </c>
      <c r="G30" s="301">
        <f t="shared" si="3"/>
        <v>5417000</v>
      </c>
      <c r="H30" s="301">
        <f>IF(ISERROR(VLOOKUP($A30,DECRETI!$A$1:$Z$500,H$4,FALSE)),0,VLOOKUP($A30,DECRETI!$A$1:$Z$500,H$4,FALSE))</f>
        <v>0</v>
      </c>
      <c r="I30" s="301">
        <f t="shared" si="4"/>
        <v>5417000</v>
      </c>
      <c r="J30" s="17"/>
      <c r="K30" s="301">
        <f t="shared" si="5"/>
        <v>0</v>
      </c>
    </row>
    <row r="31" spans="1:11" ht="15.75">
      <c r="A31" s="291" t="str">
        <f>+$C$3&amp;"_"&amp;B31&amp;"_"&amp;3</f>
        <v>702_AOIR01_3</v>
      </c>
      <c r="B31" s="292" t="s">
        <v>146</v>
      </c>
      <c r="C31" s="323"/>
      <c r="D31" s="325" t="s">
        <v>151</v>
      </c>
      <c r="E31" s="301">
        <f>IF(ISERROR(VLOOKUP($A31,DECRETI!$A$1:$Z$500,E$4,FALSE)),0,VLOOKUP($A31,DECRETI!$A$1:$Z$500,E$4,FALSE))</f>
        <v>280064</v>
      </c>
      <c r="F31" s="301">
        <f>IF(ISERROR(VLOOKUP($A31,DECRETI!$A$1:$Z$500,F$4,FALSE)),0,VLOOKUP($A31,DECRETI!$A$1:$Z$500,F$4,FALSE))</f>
        <v>0</v>
      </c>
      <c r="G31" s="301">
        <f t="shared" si="3"/>
        <v>280064</v>
      </c>
      <c r="H31" s="301">
        <f>IF(ISERROR(VLOOKUP($A31,DECRETI!$A$1:$Z$500,H$4,FALSE)),0,VLOOKUP($A31,DECRETI!$A$1:$Z$500,H$4,FALSE))</f>
        <v>0</v>
      </c>
      <c r="I31" s="301">
        <f t="shared" si="4"/>
        <v>280064</v>
      </c>
      <c r="J31" s="17"/>
      <c r="K31" s="301">
        <f t="shared" si="5"/>
        <v>0</v>
      </c>
    </row>
    <row r="32" spans="1:11" ht="15.75">
      <c r="A32" s="291" t="str">
        <f>+$C$3&amp;"_"&amp;B32&amp;"_"&amp;1</f>
        <v>702_C9TOT_1</v>
      </c>
      <c r="B32" s="17" t="s">
        <v>152</v>
      </c>
      <c r="C32" s="435" t="s">
        <v>153</v>
      </c>
      <c r="D32" s="304" t="s">
        <v>154</v>
      </c>
      <c r="E32" s="437">
        <f>SUM(E33:E37)</f>
        <v>50892517</v>
      </c>
      <c r="F32" s="308">
        <f>SUM(F33:F37)</f>
        <v>0</v>
      </c>
      <c r="G32" s="437">
        <f>+E32+F32</f>
        <v>50892517</v>
      </c>
      <c r="H32" s="437">
        <f>SUM(H33:H37)</f>
        <v>0</v>
      </c>
      <c r="I32" s="437">
        <f t="shared" si="4"/>
        <v>50892517</v>
      </c>
      <c r="J32" s="17"/>
      <c r="K32" s="437">
        <f t="shared" si="5"/>
        <v>0</v>
      </c>
    </row>
    <row r="33" spans="1:11" ht="15.75">
      <c r="A33" s="291" t="str">
        <f>+$C$3&amp;"_"&amp;B33&amp;"_"&amp;1</f>
        <v>702_AOIR03_1</v>
      </c>
      <c r="B33" s="292" t="s">
        <v>155</v>
      </c>
      <c r="C33" s="440"/>
      <c r="D33" s="441" t="s">
        <v>147</v>
      </c>
      <c r="E33" s="434">
        <f>IF(ISERROR(VLOOKUP($A33,DECRETI!$A$1:$Z$500,E$4,FALSE)),0,VLOOKUP($A33,DECRETI!$A$1:$Z$500,E$4,FALSE))</f>
        <v>49003571</v>
      </c>
      <c r="F33" s="434">
        <f>IF(ISERROR(VLOOKUP($A33,DECRETI!$A$1:$Z$500,F$4,FALSE)),0,VLOOKUP($A33,DECRETI!$A$1:$Z$500,F$4,FALSE))</f>
        <v>0</v>
      </c>
      <c r="G33" s="434">
        <f t="shared" si="3"/>
        <v>49003571</v>
      </c>
      <c r="H33" s="434">
        <f>IF(ISERROR(VLOOKUP($A33,DECRETI!$A$1:$Z$500,H$4,FALSE)),0,VLOOKUP($A33,DECRETI!$A$1:$Z$500,H$4,FALSE))</f>
        <v>0</v>
      </c>
      <c r="I33" s="434">
        <f t="shared" si="4"/>
        <v>49003571</v>
      </c>
      <c r="J33" s="17"/>
      <c r="K33" s="434">
        <f aca="true" t="shared" si="6" ref="K33:K43">+E33+H33-I33</f>
        <v>0</v>
      </c>
    </row>
    <row r="34" spans="1:11" s="397" customFormat="1" ht="15.75">
      <c r="A34" s="291" t="str">
        <f>+$C$3&amp;"_"&amp;B34&amp;"_"&amp;5</f>
        <v>702_AOIR03_5</v>
      </c>
      <c r="B34" s="292" t="s">
        <v>155</v>
      </c>
      <c r="C34" s="440"/>
      <c r="D34" s="441" t="s">
        <v>148</v>
      </c>
      <c r="E34" s="434">
        <f>IF(ISERROR(VLOOKUP($A34,DECRETI!$A$1:$Z$500,E$4,FALSE)),0,VLOOKUP($A34,DECRETI!$A$1:$Z$500,E$4,FALSE))</f>
        <v>265000</v>
      </c>
      <c r="F34" s="434">
        <f>IF(ISERROR(VLOOKUP($A34,DECRETI!$A$1:$Z$500,F$4,FALSE)),0,VLOOKUP($A34,DECRETI!$A$1:$Z$500,F$4,FALSE))</f>
        <v>0</v>
      </c>
      <c r="G34" s="434">
        <f>+E34+F34</f>
        <v>265000</v>
      </c>
      <c r="H34" s="434">
        <f>IF(ISERROR(VLOOKUP($A34,DECRETI!$A$1:$Z$500,H$4,FALSE)),0,VLOOKUP($A34,DECRETI!$A$1:$Z$500,H$4,FALSE))</f>
        <v>0</v>
      </c>
      <c r="I34" s="434">
        <f>+G34+H34</f>
        <v>265000</v>
      </c>
      <c r="J34" s="17"/>
      <c r="K34" s="434"/>
    </row>
    <row r="35" spans="1:11" ht="15.75">
      <c r="A35" s="291" t="str">
        <f>+$C$3&amp;"_"&amp;B35&amp;"_"&amp;1</f>
        <v>702_AOIR05_1</v>
      </c>
      <c r="B35" s="292" t="s">
        <v>156</v>
      </c>
      <c r="C35" s="323"/>
      <c r="D35" s="325" t="s">
        <v>157</v>
      </c>
      <c r="E35" s="301">
        <f>IF(ISERROR(VLOOKUP($A35,DECRETI!$A$1:$Z$500,E$4,FALSE)),0,VLOOKUP($A35,DECRETI!$A$1:$Z$500,E$4,FALSE))</f>
        <v>346000</v>
      </c>
      <c r="F35" s="301">
        <f>IF(ISERROR(VLOOKUP($A35,DECRETI!$A$1:$Z$500,F$4,FALSE)),0,VLOOKUP($A35,DECRETI!$A$1:$Z$500,F$4,FALSE))</f>
        <v>0</v>
      </c>
      <c r="G35" s="301">
        <f t="shared" si="3"/>
        <v>346000</v>
      </c>
      <c r="H35" s="301">
        <f>IF(ISERROR(VLOOKUP($A35,DECRETI!$A$1:$Z$500,H$4,FALSE)),0,VLOOKUP($A35,DECRETI!$A$1:$Z$500,H$4,FALSE))</f>
        <v>0</v>
      </c>
      <c r="I35" s="301">
        <f t="shared" si="4"/>
        <v>346000</v>
      </c>
      <c r="J35" s="17"/>
      <c r="K35" s="301">
        <f t="shared" si="6"/>
        <v>0</v>
      </c>
    </row>
    <row r="36" spans="1:11" ht="15.75">
      <c r="A36" s="291" t="str">
        <f>+$C$3&amp;"_"&amp;B36&amp;"_"&amp;2</f>
        <v>702_AOIR03_2</v>
      </c>
      <c r="B36" s="292" t="s">
        <v>155</v>
      </c>
      <c r="C36" s="323"/>
      <c r="D36" s="325" t="s">
        <v>150</v>
      </c>
      <c r="E36" s="301">
        <f>IF(ISERROR(VLOOKUP($A36,DECRETI!$A$1:$Z$500,E$4,FALSE)),0,VLOOKUP($A36,DECRETI!$A$1:$Z$500,E$4,FALSE))</f>
        <v>1267000</v>
      </c>
      <c r="F36" s="301">
        <f>IF(ISERROR(VLOOKUP($A36,DECRETI!$A$1:$Z$500,F$4,FALSE)),0,VLOOKUP($A36,DECRETI!$A$1:$Z$500,F$4,FALSE))</f>
        <v>0</v>
      </c>
      <c r="G36" s="301">
        <f>+E36+F36</f>
        <v>1267000</v>
      </c>
      <c r="H36" s="324">
        <f>SUM(H37:H37)</f>
        <v>0</v>
      </c>
      <c r="I36" s="301">
        <f t="shared" si="4"/>
        <v>1267000</v>
      </c>
      <c r="J36" s="17"/>
      <c r="K36" s="301">
        <f t="shared" si="6"/>
        <v>0</v>
      </c>
    </row>
    <row r="37" spans="1:11" ht="15.75">
      <c r="A37" s="291" t="str">
        <f>+$C$3&amp;"_"&amp;B37&amp;"_"&amp;3</f>
        <v>702_AOIR03_3</v>
      </c>
      <c r="B37" s="292" t="s">
        <v>155</v>
      </c>
      <c r="C37" s="323"/>
      <c r="D37" s="325" t="s">
        <v>151</v>
      </c>
      <c r="E37" s="301">
        <f>IF(ISERROR(VLOOKUP($A37,DECRETI!$A$1:$Z$500,E$4,FALSE)),0,VLOOKUP($A37,DECRETI!$A$1:$Z$500,E$4,FALSE))</f>
        <v>10946</v>
      </c>
      <c r="F37" s="301">
        <f>IF(ISERROR(VLOOKUP($A37,DECRETI!$A$1:$Z$500,F$4,FALSE)),0,VLOOKUP($A37,DECRETI!$A$1:$Z$500,F$4,FALSE))</f>
        <v>0</v>
      </c>
      <c r="G37" s="301">
        <f t="shared" si="3"/>
        <v>10946</v>
      </c>
      <c r="H37" s="301">
        <f>IF(ISERROR(VLOOKUP($A37,DECRETI!$A$1:$Z$500,H$4,FALSE)),0,VLOOKUP($A37,DECRETI!$A$1:$Z$500,H$4,FALSE))</f>
        <v>0</v>
      </c>
      <c r="I37" s="301">
        <f t="shared" si="4"/>
        <v>10946</v>
      </c>
      <c r="J37" s="17"/>
      <c r="K37" s="301">
        <f t="shared" si="6"/>
        <v>0</v>
      </c>
    </row>
    <row r="38" spans="1:11" ht="15.75">
      <c r="A38" s="291" t="str">
        <f aca="true" t="shared" si="7" ref="A38:A45">+$C$3&amp;"_"&amp;B38&amp;"_"&amp;1</f>
        <v>702_C10TOT_1</v>
      </c>
      <c r="B38" s="292" t="s">
        <v>158</v>
      </c>
      <c r="C38" s="445" t="s">
        <v>159</v>
      </c>
      <c r="D38" s="436" t="s">
        <v>160</v>
      </c>
      <c r="E38" s="437">
        <f>SUM(E39:E40)</f>
        <v>2096158</v>
      </c>
      <c r="F38" s="308">
        <f>SUM(F39:F40)</f>
        <v>0</v>
      </c>
      <c r="G38" s="437">
        <f>+E38+F38</f>
        <v>2096158</v>
      </c>
      <c r="H38" s="437">
        <f>SUM(H39:H40)</f>
        <v>0</v>
      </c>
      <c r="I38" s="437">
        <f>+G38+H38</f>
        <v>2096158</v>
      </c>
      <c r="J38" s="431"/>
      <c r="K38" s="437">
        <f>+E38+H38-I38</f>
        <v>0</v>
      </c>
    </row>
    <row r="39" spans="1:11" s="397" customFormat="1" ht="15.75">
      <c r="A39" s="291" t="str">
        <f t="shared" si="7"/>
        <v>702_AOIR04_1</v>
      </c>
      <c r="B39" s="292" t="s">
        <v>161</v>
      </c>
      <c r="C39" s="443"/>
      <c r="D39" s="444" t="s">
        <v>162</v>
      </c>
      <c r="E39" s="434">
        <f>IF(ISERROR(VLOOKUP($A39,DECRETI!$A$1:$Z$500,E$4,FALSE)),0,VLOOKUP($A39,DECRETI!$A$1:$Z$500,E$4,FALSE))</f>
        <v>2096158</v>
      </c>
      <c r="F39" s="434">
        <f>IF(ISERROR(VLOOKUP($A39,DECRETI!$A$1:$Z$500,F$4,FALSE)),0,VLOOKUP($A39,DECRETI!$A$1:$Z$500,F$4,FALSE))</f>
        <v>0</v>
      </c>
      <c r="G39" s="434">
        <f>+E39+F39</f>
        <v>2096158</v>
      </c>
      <c r="H39" s="434">
        <f>IF(ISERROR(VLOOKUP($A39,DECRETI!$A$1:$Z$500,H$4,FALSE)),0,VLOOKUP($A39,DECRETI!$A$1:$Z$500,H$4,FALSE))</f>
        <v>0</v>
      </c>
      <c r="I39" s="434">
        <f>+G39+H39</f>
        <v>2096158</v>
      </c>
      <c r="J39" s="431"/>
      <c r="K39" s="434">
        <f>+E39+H39-I39</f>
        <v>0</v>
      </c>
    </row>
    <row r="40" spans="1:11" s="397" customFormat="1" ht="15.75">
      <c r="A40" s="291" t="str">
        <f>+$C$3&amp;"_"&amp;B40&amp;"_"&amp;2</f>
        <v>702_AOIR04_2</v>
      </c>
      <c r="B40" s="292" t="s">
        <v>161</v>
      </c>
      <c r="C40" s="446"/>
      <c r="D40" s="416" t="s">
        <v>150</v>
      </c>
      <c r="E40" s="417">
        <f>IF(ISERROR(VLOOKUP($A40,DECRETI!$A$1:$Z$500,E$4,FALSE)),0,VLOOKUP($A40,DECRETI!$A$1:$Z$500,E$4,FALSE))</f>
        <v>0</v>
      </c>
      <c r="F40" s="417">
        <f>IF(ISERROR(VLOOKUP($A40,DECRETI!$A$1:$Z$500,F$4,FALSE)),0,VLOOKUP($A40,DECRETI!$A$1:$Z$500,F$4,FALSE))</f>
        <v>0</v>
      </c>
      <c r="G40" s="417">
        <f>+E40+F40</f>
        <v>0</v>
      </c>
      <c r="H40" s="417">
        <f>IF(ISERROR(VLOOKUP($A40,DECRETI!$A$1:$Z$500,H$4,FALSE)),0,VLOOKUP($A40,DECRETI!$A$1:$Z$500,H$4,FALSE))</f>
        <v>0</v>
      </c>
      <c r="I40" s="417">
        <f>+G40+H40</f>
        <v>0</v>
      </c>
      <c r="J40" s="431"/>
      <c r="K40" s="417">
        <f>+E40+H40-I40</f>
        <v>0</v>
      </c>
    </row>
    <row r="41" spans="1:11" ht="15.75">
      <c r="A41" s="291" t="str">
        <f t="shared" si="7"/>
        <v>702_C11_TOT_1</v>
      </c>
      <c r="B41" s="292" t="s">
        <v>163</v>
      </c>
      <c r="C41" s="445" t="s">
        <v>164</v>
      </c>
      <c r="D41" s="436" t="s">
        <v>165</v>
      </c>
      <c r="E41" s="437">
        <f>SUM(E42:E43)</f>
        <v>10425934</v>
      </c>
      <c r="F41" s="308">
        <f>SUM(F42:F43)</f>
        <v>0</v>
      </c>
      <c r="G41" s="437">
        <f>+E41+F41</f>
        <v>10425934</v>
      </c>
      <c r="H41" s="437">
        <f>SUM(H42:H43)</f>
        <v>0</v>
      </c>
      <c r="I41" s="437">
        <f t="shared" si="4"/>
        <v>10425934</v>
      </c>
      <c r="J41" s="431"/>
      <c r="K41" s="437">
        <f t="shared" si="6"/>
        <v>0</v>
      </c>
    </row>
    <row r="42" spans="1:11" s="397" customFormat="1" ht="15.75">
      <c r="A42" s="291" t="str">
        <f t="shared" si="7"/>
        <v>702_AOIR08_1</v>
      </c>
      <c r="B42" s="292" t="s">
        <v>166</v>
      </c>
      <c r="C42" s="443"/>
      <c r="D42" s="444" t="s">
        <v>162</v>
      </c>
      <c r="E42" s="434">
        <f>IF(ISERROR(VLOOKUP($A42,DECRETI!$A$1:$Z$500,E$4,FALSE)),0,VLOOKUP($A42,DECRETI!$A$1:$Z$500,E$4,FALSE))</f>
        <v>10425934</v>
      </c>
      <c r="F42" s="434">
        <f>IF(ISERROR(VLOOKUP($A42,DECRETI!$A$1:$Z$500,F$4,FALSE)),0,VLOOKUP($A42,DECRETI!$A$1:$Z$500,F$4,FALSE))</f>
        <v>0</v>
      </c>
      <c r="G42" s="434">
        <f t="shared" si="3"/>
        <v>10425934</v>
      </c>
      <c r="H42" s="434">
        <f>IF(ISERROR(VLOOKUP($A42,DECRETI!$A$1:$Z$500,H$4,FALSE)),0,VLOOKUP($A42,DECRETI!$A$1:$Z$500,H$4,FALSE))</f>
        <v>0</v>
      </c>
      <c r="I42" s="434">
        <f t="shared" si="4"/>
        <v>10425934</v>
      </c>
      <c r="J42" s="431"/>
      <c r="K42" s="434">
        <f t="shared" si="6"/>
        <v>0</v>
      </c>
    </row>
    <row r="43" spans="1:11" s="397" customFormat="1" ht="15.75">
      <c r="A43" s="291" t="str">
        <f>+$C$3&amp;"_"&amp;B43&amp;"_"&amp;2</f>
        <v>702_AOIR08_2</v>
      </c>
      <c r="B43" s="292" t="s">
        <v>166</v>
      </c>
      <c r="C43" s="446"/>
      <c r="D43" s="416" t="s">
        <v>167</v>
      </c>
      <c r="E43" s="417">
        <f>IF(ISERROR(VLOOKUP($A43,DECRETI!$A$1:$Z$500,E$4,FALSE)),0,VLOOKUP($A43,DECRETI!$A$1:$Z$500,E$4,FALSE))</f>
        <v>0</v>
      </c>
      <c r="F43" s="417">
        <f>IF(ISERROR(VLOOKUP($A43,DECRETI!$A$1:$Z$500,F$4,FALSE)),0,VLOOKUP($A43,DECRETI!$A$1:$Z$500,F$4,FALSE))</f>
        <v>0</v>
      </c>
      <c r="G43" s="417">
        <f t="shared" si="3"/>
        <v>0</v>
      </c>
      <c r="H43" s="417">
        <f>IF(ISERROR(VLOOKUP($A43,DECRETI!$A$1:$Z$500,H$4,FALSE)),0,VLOOKUP($A43,DECRETI!$A$1:$Z$500,H$4,FALSE))</f>
        <v>0</v>
      </c>
      <c r="I43" s="417">
        <f t="shared" si="4"/>
        <v>0</v>
      </c>
      <c r="J43" s="431"/>
      <c r="K43" s="417">
        <f t="shared" si="6"/>
        <v>0</v>
      </c>
    </row>
    <row r="44" spans="1:11" ht="15.75">
      <c r="A44" s="291" t="str">
        <f t="shared" si="7"/>
        <v>702_C12TOT_1</v>
      </c>
      <c r="B44" s="17" t="s">
        <v>168</v>
      </c>
      <c r="C44" s="435" t="s">
        <v>169</v>
      </c>
      <c r="D44" s="304" t="s">
        <v>170</v>
      </c>
      <c r="E44" s="437">
        <f>SUM(E45:E49)</f>
        <v>36367976</v>
      </c>
      <c r="F44" s="308">
        <f>SUM(F45:F49)</f>
        <v>0</v>
      </c>
      <c r="G44" s="437">
        <f t="shared" si="3"/>
        <v>36367976</v>
      </c>
      <c r="H44" s="437">
        <f>SUM(H45:H49)</f>
        <v>0</v>
      </c>
      <c r="I44" s="437">
        <f aca="true" t="shared" si="8" ref="I44:I59">+G44+H44</f>
        <v>36367976</v>
      </c>
      <c r="J44" s="17"/>
      <c r="K44" s="437">
        <f aca="true" t="shared" si="9" ref="K44:K50">+E44+H44-I44</f>
        <v>0</v>
      </c>
    </row>
    <row r="45" spans="1:11" ht="15.75">
      <c r="A45" s="291" t="str">
        <f t="shared" si="7"/>
        <v>702_AOIR09_1</v>
      </c>
      <c r="B45" s="292" t="s">
        <v>171</v>
      </c>
      <c r="C45" s="440"/>
      <c r="D45" s="441" t="s">
        <v>172</v>
      </c>
      <c r="E45" s="434">
        <f>IF(ISERROR(VLOOKUP($A45,DECRETI!$A$1:$Z$500,E$4,FALSE)),0,VLOOKUP($A45,DECRETI!$A$1:$Z$500,E$4,FALSE))</f>
        <v>28784889</v>
      </c>
      <c r="F45" s="434">
        <f>IF(ISERROR(VLOOKUP($A45,DECRETI!$A$1:$Z$500,F$4,FALSE)),0,VLOOKUP($A45,DECRETI!$A$1:$Z$500,F$4,FALSE))</f>
        <v>0</v>
      </c>
      <c r="G45" s="434">
        <f t="shared" si="3"/>
        <v>28784889</v>
      </c>
      <c r="H45" s="434">
        <f>IF(ISERROR(VLOOKUP($A45,DECRETI!$A$1:$Z$500,H$4,FALSE)),0,VLOOKUP($A45,DECRETI!$A$1:$Z$500,H$4,FALSE))</f>
        <v>0</v>
      </c>
      <c r="I45" s="434">
        <f t="shared" si="8"/>
        <v>28784889</v>
      </c>
      <c r="J45" s="17"/>
      <c r="K45" s="434">
        <f t="shared" si="9"/>
        <v>0</v>
      </c>
    </row>
    <row r="46" spans="1:11" ht="15.75">
      <c r="A46" s="291" t="str">
        <f>+$C$3&amp;"_"&amp;B46&amp;"_"&amp;4</f>
        <v>702_AOIR09_4</v>
      </c>
      <c r="B46" s="292" t="s">
        <v>171</v>
      </c>
      <c r="C46" s="323"/>
      <c r="D46" s="325" t="s">
        <v>173</v>
      </c>
      <c r="E46" s="301">
        <f>IF(ISERROR(VLOOKUP($A46,DECRETI!$A$1:$Z$500,E$4,FALSE)),0,VLOOKUP($A46,DECRETI!$A$1:$Z$500,E$4,FALSE))</f>
        <v>6181087</v>
      </c>
      <c r="F46" s="301">
        <f>IF(ISERROR(VLOOKUP($A46,DECRETI!$A$1:$Z$500,F$4,FALSE)),0,VLOOKUP($A46,DECRETI!$A$1:$Z$500,F$4,FALSE))</f>
        <v>0</v>
      </c>
      <c r="G46" s="301">
        <f t="shared" si="3"/>
        <v>6181087</v>
      </c>
      <c r="H46" s="301">
        <f>IF(ISERROR(VLOOKUP($A46,DECRETI!$A$1:$Z$500,H$4,FALSE)),0,VLOOKUP($A46,DECRETI!$A$1:$Z$500,H$4,FALSE))</f>
        <v>0</v>
      </c>
      <c r="I46" s="301">
        <f t="shared" si="8"/>
        <v>6181087</v>
      </c>
      <c r="J46" s="17"/>
      <c r="K46" s="301">
        <f t="shared" si="9"/>
        <v>0</v>
      </c>
    </row>
    <row r="47" spans="1:11" s="397" customFormat="1" ht="15.75">
      <c r="A47" s="291" t="str">
        <f>+$C$3&amp;"_"&amp;B47&amp;"_"&amp;5</f>
        <v>702_AOIR09_5</v>
      </c>
      <c r="B47" s="292" t="s">
        <v>171</v>
      </c>
      <c r="C47" s="323"/>
      <c r="D47" s="325" t="s">
        <v>174</v>
      </c>
      <c r="E47" s="301">
        <f>IF(ISERROR(VLOOKUP($A47,DECRETI!$A$1:$Z$500,E$4,FALSE)),0,VLOOKUP($A47,DECRETI!$A$1:$Z$500,E$4,FALSE))</f>
        <v>0</v>
      </c>
      <c r="F47" s="301">
        <f>IF(ISERROR(VLOOKUP($A47,DECRETI!$A$1:$Z$500,F$4,FALSE)),0,VLOOKUP($A47,DECRETI!$A$1:$Z$500,F$4,FALSE))</f>
        <v>0</v>
      </c>
      <c r="G47" s="301">
        <f>+E47+F47</f>
        <v>0</v>
      </c>
      <c r="H47" s="301">
        <f>IF(ISERROR(VLOOKUP($A47,DECRETI!$A$1:$Z$500,H$4,FALSE)),0,VLOOKUP($A47,DECRETI!$A$1:$Z$500,H$4,FALSE))</f>
        <v>0</v>
      </c>
      <c r="I47" s="301">
        <f>+G47+H47</f>
        <v>0</v>
      </c>
      <c r="J47" s="17"/>
      <c r="K47" s="301">
        <f t="shared" si="9"/>
        <v>0</v>
      </c>
    </row>
    <row r="48" spans="1:11" ht="15.75">
      <c r="A48" s="291" t="str">
        <f>+$C$3&amp;"_"&amp;B48&amp;"_"&amp;2</f>
        <v>702_AOIR09_2</v>
      </c>
      <c r="B48" s="292" t="s">
        <v>171</v>
      </c>
      <c r="C48" s="323"/>
      <c r="D48" s="322" t="s">
        <v>175</v>
      </c>
      <c r="E48" s="301">
        <f>IF(ISERROR(VLOOKUP($A48,DECRETI!$A$1:$Z$500,E$4,FALSE)),0,VLOOKUP($A48,DECRETI!$A$1:$Z$500,E$4,FALSE))</f>
        <v>1402000</v>
      </c>
      <c r="F48" s="301">
        <f>IF(ISERROR(VLOOKUP($A48,DECRETI!$A$1:$Z$500,F$4,FALSE)),0,VLOOKUP($A48,DECRETI!$A$1:$Z$500,F$4,FALSE))</f>
        <v>0</v>
      </c>
      <c r="G48" s="301">
        <f t="shared" si="3"/>
        <v>1402000</v>
      </c>
      <c r="H48" s="301">
        <f>IF(ISERROR(VLOOKUP($A48,DECRETI!$A$1:$Z$500,H$4,FALSE)),0,VLOOKUP($A48,DECRETI!$A$1:$Z$500,H$4,FALSE))</f>
        <v>0</v>
      </c>
      <c r="I48" s="301">
        <f t="shared" si="8"/>
        <v>1402000</v>
      </c>
      <c r="J48" s="17"/>
      <c r="K48" s="301">
        <f t="shared" si="9"/>
        <v>0</v>
      </c>
    </row>
    <row r="49" spans="1:11" ht="15.75">
      <c r="A49" s="291" t="str">
        <f>+$C$3&amp;"_"&amp;B49&amp;"_"&amp;3</f>
        <v>702_AOIR09_3</v>
      </c>
      <c r="B49" s="292" t="s">
        <v>171</v>
      </c>
      <c r="C49" s="446"/>
      <c r="D49" s="442" t="s">
        <v>176</v>
      </c>
      <c r="E49" s="417">
        <f>IF(ISERROR(VLOOKUP($A49,DECRETI!$A$1:$Z$500,E$4,FALSE)),0,VLOOKUP($A49,DECRETI!$A$1:$Z$500,E$4,FALSE))</f>
        <v>0</v>
      </c>
      <c r="F49" s="417">
        <f>IF(ISERROR(VLOOKUP($A49,DECRETI!$A$1:$Z$500,F$4,FALSE)),0,VLOOKUP($A49,DECRETI!$A$1:$Z$500,F$4,FALSE))</f>
        <v>0</v>
      </c>
      <c r="G49" s="417">
        <f t="shared" si="3"/>
        <v>0</v>
      </c>
      <c r="H49" s="417">
        <f>IF(ISERROR(VLOOKUP($A49,DECRETI!$A$1:$Z$500,H$4,FALSE)),0,VLOOKUP($A49,DECRETI!$A$1:$Z$500,H$4,FALSE))</f>
        <v>0</v>
      </c>
      <c r="I49" s="417">
        <f t="shared" si="8"/>
        <v>0</v>
      </c>
      <c r="J49" s="17"/>
      <c r="K49" s="417">
        <f t="shared" si="9"/>
        <v>0</v>
      </c>
    </row>
    <row r="50" spans="1:11" ht="15.75">
      <c r="A50" s="291" t="str">
        <f>+$C$3&amp;"_"&amp;B50&amp;"_"&amp;1</f>
        <v>702_C13TOT_1</v>
      </c>
      <c r="B50" s="17" t="s">
        <v>177</v>
      </c>
      <c r="C50" s="435" t="s">
        <v>178</v>
      </c>
      <c r="D50" s="436" t="s">
        <v>179</v>
      </c>
      <c r="E50" s="437">
        <f>SUM(E51:E59)</f>
        <v>4100796</v>
      </c>
      <c r="F50" s="308">
        <f>SUM(F51:F59)</f>
        <v>1000</v>
      </c>
      <c r="G50" s="437">
        <f t="shared" si="3"/>
        <v>4101796</v>
      </c>
      <c r="H50" s="437">
        <f>SUM(H51:H59)</f>
        <v>0</v>
      </c>
      <c r="I50" s="437">
        <f t="shared" si="8"/>
        <v>4101796</v>
      </c>
      <c r="J50" s="17"/>
      <c r="K50" s="437">
        <f t="shared" si="9"/>
        <v>-1000</v>
      </c>
    </row>
    <row r="51" spans="1:11" ht="15.75">
      <c r="A51" s="291" t="str">
        <f>+$C$3&amp;"_"&amp;B51&amp;"_"&amp;1</f>
        <v>702_AOIR15_1</v>
      </c>
      <c r="B51" s="292" t="s">
        <v>180</v>
      </c>
      <c r="C51" s="440"/>
      <c r="D51" s="444" t="s">
        <v>181</v>
      </c>
      <c r="E51" s="434">
        <f>IF(ISERROR(VLOOKUP($A51,DECRETI!$A$1:$Z$500,E$4,FALSE)),0,VLOOKUP($A51,DECRETI!$A$1:$Z$500,E$4,FALSE))</f>
        <v>3147796</v>
      </c>
      <c r="F51" s="447">
        <f>IF(ISERROR(VLOOKUP($A51,DECRETI!$A$1:$Z$500,F$4,FALSE)),0,VLOOKUP($A51,DECRETI!$A$1:$Z$500,F$4,FALSE))</f>
        <v>0</v>
      </c>
      <c r="G51" s="448">
        <f t="shared" si="3"/>
        <v>3147796</v>
      </c>
      <c r="H51" s="434">
        <f>IF(ISERROR(VLOOKUP($A51,DECRETI!$A$1:$Z$500,H$4,FALSE)),0,VLOOKUP($A51,DECRETI!$A$1:$Z$500,H$4,FALSE))</f>
        <v>0</v>
      </c>
      <c r="I51" s="434">
        <f t="shared" si="8"/>
        <v>3147796</v>
      </c>
      <c r="J51" s="17"/>
      <c r="K51" s="434">
        <f aca="true" t="shared" si="10" ref="K51:K59">+E51+H51-I51</f>
        <v>0</v>
      </c>
    </row>
    <row r="52" spans="1:11" ht="15.75">
      <c r="A52" s="291" t="str">
        <f>+$C$3&amp;"_"&amp;B52&amp;"_"&amp;2</f>
        <v>702_AOIR15_2</v>
      </c>
      <c r="B52" s="292" t="s">
        <v>180</v>
      </c>
      <c r="C52" s="323"/>
      <c r="D52" s="322" t="s">
        <v>182</v>
      </c>
      <c r="E52" s="301">
        <f>IF(ISERROR(VLOOKUP($A52,DECRETI!$A$1:$Z$500,E$4,FALSE)),0,VLOOKUP($A52,DECRETI!$A$1:$Z$500,E$4,FALSE))</f>
        <v>159000</v>
      </c>
      <c r="F52" s="301">
        <f>IF(ISERROR(VLOOKUP($A52,DECRETI!$A$1:$Z$500,F$4,FALSE)),0,VLOOKUP($A52,DECRETI!$A$1:$Z$500,F$4,FALSE))</f>
        <v>0</v>
      </c>
      <c r="G52" s="301">
        <f t="shared" si="3"/>
        <v>159000</v>
      </c>
      <c r="H52" s="301">
        <f>IF(ISERROR(VLOOKUP($A52,DECRETI!$A$1:$Z$500,H$4,FALSE)),0,VLOOKUP($A52,DECRETI!$A$1:$Z$500,H$4,FALSE))</f>
        <v>0</v>
      </c>
      <c r="I52" s="301">
        <f t="shared" si="8"/>
        <v>159000</v>
      </c>
      <c r="J52" s="17"/>
      <c r="K52" s="301">
        <f t="shared" si="10"/>
        <v>0</v>
      </c>
    </row>
    <row r="53" spans="1:11" ht="15.75">
      <c r="A53" s="291" t="str">
        <f>+$C$3&amp;"_"&amp;B53&amp;"_"&amp;3</f>
        <v>702_AOIR15_3</v>
      </c>
      <c r="B53" s="292" t="s">
        <v>180</v>
      </c>
      <c r="C53" s="323"/>
      <c r="D53" s="322" t="s">
        <v>183</v>
      </c>
      <c r="E53" s="301">
        <f>IF(ISERROR(VLOOKUP($A53,DECRETI!$A$1:$Z$500,E$4,FALSE)),0,VLOOKUP($A53,DECRETI!$A$1:$Z$500,E$4,FALSE))</f>
        <v>0</v>
      </c>
      <c r="F53" s="301">
        <f>IF(ISERROR(VLOOKUP($A53,DECRETI!$A$1:$Z$500,F$4,FALSE)),0,VLOOKUP($A53,DECRETI!$A$1:$Z$500,F$4,FALSE))</f>
        <v>0</v>
      </c>
      <c r="G53" s="301">
        <f t="shared" si="3"/>
        <v>0</v>
      </c>
      <c r="H53" s="301">
        <f>IF(ISERROR(VLOOKUP($A53,DECRETI!$A$1:$Z$500,H$4,FALSE)),0,VLOOKUP($A53,DECRETI!$A$1:$Z$500,H$4,FALSE))</f>
        <v>0</v>
      </c>
      <c r="I53" s="301">
        <f t="shared" si="8"/>
        <v>0</v>
      </c>
      <c r="J53" s="17"/>
      <c r="K53" s="301">
        <f t="shared" si="10"/>
        <v>0</v>
      </c>
    </row>
    <row r="54" spans="1:11" ht="15.75">
      <c r="A54" s="291" t="str">
        <f>+$C$3&amp;"_"&amp;B54&amp;"_"&amp;4</f>
        <v>702_AOIR15_4</v>
      </c>
      <c r="B54" s="292" t="s">
        <v>180</v>
      </c>
      <c r="C54" s="323"/>
      <c r="D54" s="322" t="s">
        <v>184</v>
      </c>
      <c r="E54" s="301">
        <f>IF(ISERROR(VLOOKUP($A54,DECRETI!$A$1:$Z$500,E$4,FALSE)),0,VLOOKUP($A54,DECRETI!$A$1:$Z$500,E$4,FALSE))</f>
        <v>0</v>
      </c>
      <c r="F54" s="301">
        <f>IF(ISERROR(VLOOKUP($A54,DECRETI!$A$1:$Z$500,F$4,FALSE)),0,VLOOKUP($A54,DECRETI!$A$1:$Z$500,F$4,FALSE))</f>
        <v>0</v>
      </c>
      <c r="G54" s="301">
        <f t="shared" si="3"/>
        <v>0</v>
      </c>
      <c r="H54" s="301">
        <f>IF(ISERROR(VLOOKUP($A54,DECRETI!$A$1:$Z$500,H$4,FALSE)),0,VLOOKUP($A54,DECRETI!$A$1:$Z$500,H$4,FALSE))</f>
        <v>0</v>
      </c>
      <c r="I54" s="301">
        <f t="shared" si="8"/>
        <v>0</v>
      </c>
      <c r="J54" s="17"/>
      <c r="K54" s="301">
        <f t="shared" si="10"/>
        <v>0</v>
      </c>
    </row>
    <row r="55" spans="1:11" ht="15.75">
      <c r="A55" s="291" t="str">
        <f>+$C$3&amp;"_"&amp;B55&amp;"_"&amp;5</f>
        <v>702_AOIR15_5</v>
      </c>
      <c r="B55" s="292" t="s">
        <v>180</v>
      </c>
      <c r="C55" s="323"/>
      <c r="D55" s="322" t="s">
        <v>185</v>
      </c>
      <c r="E55" s="301">
        <f>IF(ISERROR(VLOOKUP($A55,DECRETI!$A$1:$Z$500,E$4,FALSE)),0,VLOOKUP($A55,DECRETI!$A$1:$Z$500,E$4,FALSE))</f>
        <v>0</v>
      </c>
      <c r="F55" s="301">
        <f>IF(ISERROR(VLOOKUP($A55,DECRETI!$A$1:$Z$500,F$4,FALSE)),0,VLOOKUP($A55,DECRETI!$A$1:$Z$500,F$4,FALSE))</f>
        <v>0</v>
      </c>
      <c r="G55" s="301">
        <f t="shared" si="3"/>
        <v>0</v>
      </c>
      <c r="H55" s="301">
        <f>IF(ISERROR(VLOOKUP($A55,DECRETI!$A$1:$Z$500,H$4,FALSE)),0,VLOOKUP($A55,DECRETI!$A$1:$Z$500,H$4,FALSE))</f>
        <v>0</v>
      </c>
      <c r="I55" s="301">
        <f t="shared" si="8"/>
        <v>0</v>
      </c>
      <c r="J55" s="17"/>
      <c r="K55" s="301">
        <f t="shared" si="10"/>
        <v>0</v>
      </c>
    </row>
    <row r="56" spans="1:11" s="397" customFormat="1" ht="15.75">
      <c r="A56" s="291" t="str">
        <f>+$C$3&amp;"_"&amp;B56&amp;"_"&amp;7</f>
        <v>702_AOIR15_7</v>
      </c>
      <c r="B56" s="292" t="s">
        <v>180</v>
      </c>
      <c r="C56" s="415"/>
      <c r="D56" s="416" t="s">
        <v>186</v>
      </c>
      <c r="E56" s="417">
        <f>IF(ISERROR(VLOOKUP($A56,DECRETI!$A$1:$Z$500,E$4,FALSE)),0,VLOOKUP($A56,DECRETI!$A$1:$Z$500,E$4,FALSE))</f>
        <v>0</v>
      </c>
      <c r="F56" s="417">
        <f>IF(ISERROR(VLOOKUP($A56,DECRETI!$A$1:$Z$500,F$4,FALSE)),0,VLOOKUP($A56,DECRETI!$A$1:$Z$500,F$4,FALSE))</f>
        <v>0</v>
      </c>
      <c r="G56" s="417">
        <f>+E56+F56</f>
        <v>0</v>
      </c>
      <c r="H56" s="417">
        <f>IF(ISERROR(VLOOKUP($A56,DECRETI!$A$1:$Z$500,H$4,FALSE)),0,VLOOKUP($A56,DECRETI!$A$1:$Z$500,H$4,FALSE))</f>
        <v>0</v>
      </c>
      <c r="I56" s="417">
        <f>+G56+H56</f>
        <v>0</v>
      </c>
      <c r="J56" s="17"/>
      <c r="K56" s="417">
        <f t="shared" si="10"/>
        <v>0</v>
      </c>
    </row>
    <row r="57" spans="1:11" s="397" customFormat="1" ht="15.75">
      <c r="A57" s="291" t="str">
        <f>+$C$3&amp;"_"&amp;B57&amp;"_"&amp;8</f>
        <v>702_AOIR15_8</v>
      </c>
      <c r="B57" s="292" t="s">
        <v>180</v>
      </c>
      <c r="C57" s="415"/>
      <c r="D57" s="416" t="s">
        <v>187</v>
      </c>
      <c r="E57" s="417">
        <f>IF(ISERROR(VLOOKUP($A57,DECRETI!$A$1:$Z$500,E$4,FALSE)),0,VLOOKUP($A57,DECRETI!$A$1:$Z$500,E$4,FALSE))</f>
        <v>378000</v>
      </c>
      <c r="F57" s="417">
        <f>IF(ISERROR(VLOOKUP($A57,DECRETI!$A$1:$Z$500,F$4,FALSE)),0,VLOOKUP($A57,DECRETI!$A$1:$Z$500,F$4,FALSE))</f>
        <v>0</v>
      </c>
      <c r="G57" s="417">
        <f>+E57+F57</f>
        <v>378000</v>
      </c>
      <c r="H57" s="417">
        <f>IF(ISERROR(VLOOKUP($A57,DECRETI!$A$1:$Z$500,H$4,FALSE)),0,VLOOKUP($A57,DECRETI!$A$1:$Z$500,H$4,FALSE))</f>
        <v>0</v>
      </c>
      <c r="I57" s="417">
        <f>+G57+H57</f>
        <v>378000</v>
      </c>
      <c r="J57" s="17"/>
      <c r="K57" s="417"/>
    </row>
    <row r="58" spans="1:11" s="397" customFormat="1" ht="15.75">
      <c r="A58" s="291" t="str">
        <f>+$C$3&amp;"_"&amp;B58&amp;"_"&amp;9</f>
        <v>702_AOIR15_9</v>
      </c>
      <c r="B58" s="292" t="s">
        <v>180</v>
      </c>
      <c r="C58" s="415"/>
      <c r="D58" s="416" t="s">
        <v>188</v>
      </c>
      <c r="E58" s="417">
        <f>IF(ISERROR(VLOOKUP($A58,DECRETI!$A$1:$Z$500,E$4,FALSE)),0,VLOOKUP($A58,DECRETI!$A$1:$Z$500,E$4,FALSE))</f>
        <v>391000</v>
      </c>
      <c r="F58" s="417">
        <f>IF(ISERROR(VLOOKUP($A58,DECRETI!$A$1:$Z$500,F$4,FALSE)),0,VLOOKUP($A58,DECRETI!$A$1:$Z$500,F$4,FALSE))</f>
        <v>0</v>
      </c>
      <c r="G58" s="417">
        <f>+E58+F58</f>
        <v>391000</v>
      </c>
      <c r="H58" s="417">
        <f>IF(ISERROR(VLOOKUP($A58,DECRETI!$A$1:$Z$500,H$4,FALSE)),0,VLOOKUP($A58,DECRETI!$A$1:$Z$500,H$4,FALSE))</f>
        <v>0</v>
      </c>
      <c r="I58" s="417">
        <f>+G58+H58</f>
        <v>391000</v>
      </c>
      <c r="J58" s="17"/>
      <c r="K58" s="417"/>
    </row>
    <row r="59" spans="1:11" ht="25.5">
      <c r="A59" s="291" t="str">
        <f>+$C$3&amp;"_"&amp;B59&amp;"_"&amp;6</f>
        <v>702_AOIR15_6</v>
      </c>
      <c r="B59" s="292" t="s">
        <v>180</v>
      </c>
      <c r="C59" s="327"/>
      <c r="D59" s="430" t="s">
        <v>189</v>
      </c>
      <c r="E59" s="328">
        <f>IF(ISERROR(VLOOKUP($A59,DECRETI!$A$1:$Z$500,E$4,FALSE)),0,VLOOKUP($A59,DECRETI!$A$1:$Z$500,E$4,FALSE))</f>
        <v>25000</v>
      </c>
      <c r="F59" s="328">
        <f>IF(ISERROR(VLOOKUP($A59,DECRETI!$A$1:$Z$500,F$4,FALSE)),0,VLOOKUP($A59,DECRETI!$A$1:$Z$500,F$4,FALSE))</f>
        <v>1000</v>
      </c>
      <c r="G59" s="328">
        <f t="shared" si="3"/>
        <v>26000</v>
      </c>
      <c r="H59" s="328">
        <f>IF(ISERROR(VLOOKUP($A59,DECRETI!$A$1:$Z$500,H$4,FALSE)),0,VLOOKUP($A59,DECRETI!$A$1:$Z$500,H$4,FALSE))</f>
        <v>0</v>
      </c>
      <c r="I59" s="328">
        <f t="shared" si="8"/>
        <v>26000</v>
      </c>
      <c r="J59" s="17"/>
      <c r="K59" s="328">
        <f t="shared" si="10"/>
        <v>-1000</v>
      </c>
    </row>
    <row r="60" spans="1:11" ht="15.75">
      <c r="A60" s="17"/>
      <c r="B60" s="17"/>
      <c r="C60" s="317"/>
      <c r="D60" s="318"/>
      <c r="E60" s="319"/>
      <c r="F60" s="319"/>
      <c r="G60" s="319"/>
      <c r="H60" s="319"/>
      <c r="I60" s="320"/>
      <c r="J60" s="17"/>
      <c r="K60" s="308"/>
    </row>
    <row r="61" spans="1:11" ht="31.5">
      <c r="A61" s="289"/>
      <c r="B61" s="290"/>
      <c r="C61" s="305" t="s">
        <v>190</v>
      </c>
      <c r="D61" s="314" t="s">
        <v>191</v>
      </c>
      <c r="E61" s="315"/>
      <c r="F61" s="315"/>
      <c r="G61" s="315"/>
      <c r="H61" s="315"/>
      <c r="I61" s="316"/>
      <c r="J61" s="17"/>
      <c r="K61" s="306"/>
    </row>
    <row r="62" spans="1:11" ht="15.75">
      <c r="A62" s="17"/>
      <c r="B62" s="17"/>
      <c r="C62" s="317"/>
      <c r="D62" s="318"/>
      <c r="E62" s="319"/>
      <c r="F62" s="319"/>
      <c r="G62" s="319"/>
      <c r="H62" s="319"/>
      <c r="I62" s="320"/>
      <c r="J62" s="17"/>
      <c r="K62" s="307"/>
    </row>
    <row r="63" spans="1:11" ht="15.75">
      <c r="A63" s="291" t="str">
        <f aca="true" t="shared" si="11" ref="A63:A74">+$C$3&amp;"_"&amp;B63&amp;"_"&amp;1</f>
        <v>702_D1TOT_1</v>
      </c>
      <c r="B63" s="17" t="s">
        <v>192</v>
      </c>
      <c r="C63" s="435" t="s">
        <v>114</v>
      </c>
      <c r="D63" s="304" t="s">
        <v>193</v>
      </c>
      <c r="E63" s="449">
        <f>+E64+E68+E69+E71+E72+E73+E74+E70</f>
        <v>372317772</v>
      </c>
      <c r="F63" s="449">
        <f>+F64+F68+F69+F71+F72+F73+F74+F70</f>
        <v>21692000</v>
      </c>
      <c r="G63" s="437">
        <f aca="true" t="shared" si="12" ref="G63:G74">+E63+F63</f>
        <v>394009772</v>
      </c>
      <c r="H63" s="437">
        <f>+H64+H68+H69+H71+H72+H73+H74</f>
        <v>1284000</v>
      </c>
      <c r="I63" s="437">
        <f>+G63+H63</f>
        <v>395293772</v>
      </c>
      <c r="J63" s="17"/>
      <c r="K63" s="437">
        <f>+E63+H63-I63</f>
        <v>-21692000</v>
      </c>
    </row>
    <row r="64" spans="1:11" ht="15.75">
      <c r="A64" s="291" t="str">
        <f t="shared" si="11"/>
        <v>702_AOIC01_1</v>
      </c>
      <c r="B64" s="292" t="s">
        <v>194</v>
      </c>
      <c r="C64" s="432"/>
      <c r="D64" s="441" t="s">
        <v>195</v>
      </c>
      <c r="E64" s="434">
        <f>IF(ISERROR(VLOOKUP($A64,DECRETI!$A$1:$Z$500,E$4,FALSE)),0,VLOOKUP($A64,DECRETI!$A$1:$Z$500,E$4,FALSE))</f>
        <v>186249000</v>
      </c>
      <c r="F64" s="434">
        <f>IF(ISERROR(VLOOKUP($A64,DECRETI!$A$1:$Z$500,F$4,FALSE)),0,VLOOKUP($A64,DECRETI!$A$1:$Z$500,F$4,FALSE))</f>
        <v>14284000</v>
      </c>
      <c r="G64" s="434">
        <f t="shared" si="12"/>
        <v>200533000</v>
      </c>
      <c r="H64" s="434">
        <f>IF(ISERROR(VLOOKUP($A64,DECRETI!$A$1:$Z$500,H$4,FALSE)),0,VLOOKUP($A64,DECRETI!$A$1:$Z$500,H$4,FALSE))</f>
        <v>1119000</v>
      </c>
      <c r="I64" s="434">
        <f aca="true" t="shared" si="13" ref="I64:I74">+G64+H64</f>
        <v>201652000</v>
      </c>
      <c r="J64" s="17"/>
      <c r="K64" s="434">
        <f aca="true" t="shared" si="14" ref="K64:K74">+E64+H64-I64</f>
        <v>-14284000</v>
      </c>
    </row>
    <row r="65" spans="1:11" ht="15.75">
      <c r="A65" s="291" t="str">
        <f t="shared" si="11"/>
        <v>702_ONPERS_1</v>
      </c>
      <c r="B65" s="293" t="s">
        <v>196</v>
      </c>
      <c r="C65" s="323"/>
      <c r="D65" s="329" t="s">
        <v>197</v>
      </c>
      <c r="E65" s="301">
        <f>IF(ISERROR(VLOOKUP($A65,DECRETI!$A$1:$Z$500,E$4,FALSE)),0,VLOOKUP($A65,DECRETI!$A$1:$Z$500,E$4,FALSE))</f>
        <v>183283000</v>
      </c>
      <c r="F65" s="301">
        <f>IF(ISERROR(VLOOKUP($A65,DECRETI!$A$1:$Z$500,F$4,FALSE)),0,VLOOKUP($A65,DECRETI!$A$1:$Z$500,F$4,FALSE))</f>
        <v>14084000</v>
      </c>
      <c r="G65" s="301">
        <f t="shared" si="12"/>
        <v>197367000</v>
      </c>
      <c r="H65" s="301">
        <f>IF(ISERROR(VLOOKUP($A65,DECRETI!$A$1:$Z$500,H$4,FALSE)),0,VLOOKUP($A65,DECRETI!$A$1:$Z$500,H$4,FALSE))</f>
        <v>1114000</v>
      </c>
      <c r="I65" s="301">
        <f t="shared" si="13"/>
        <v>198481000</v>
      </c>
      <c r="J65" s="17"/>
      <c r="K65" s="301">
        <f t="shared" si="14"/>
        <v>-14084000</v>
      </c>
    </row>
    <row r="66" spans="1:11" ht="15.75">
      <c r="A66" s="291" t="str">
        <f t="shared" si="11"/>
        <v>702_ONCOMP_1</v>
      </c>
      <c r="B66" s="293" t="s">
        <v>198</v>
      </c>
      <c r="C66" s="323"/>
      <c r="D66" s="329" t="s">
        <v>199</v>
      </c>
      <c r="E66" s="301">
        <f>IF(ISERROR(VLOOKUP($A66,DECRETI!$A$1:$Z$500,E$4,FALSE)),0,VLOOKUP($A66,DECRETI!$A$1:$Z$500,E$4,FALSE))</f>
        <v>2438000</v>
      </c>
      <c r="F66" s="301">
        <f>IF(ISERROR(VLOOKUP($A66,DECRETI!$A$1:$Z$500,F$4,FALSE)),0,VLOOKUP($A66,DECRETI!$A$1:$Z$500,F$4,FALSE))</f>
        <v>146000</v>
      </c>
      <c r="G66" s="301">
        <f t="shared" si="12"/>
        <v>2584000</v>
      </c>
      <c r="H66" s="301">
        <f>IF(ISERROR(VLOOKUP($A66,DECRETI!$A$1:$Z$500,H$4,FALSE)),0,VLOOKUP($A66,DECRETI!$A$1:$Z$500,H$4,FALSE))</f>
        <v>3000</v>
      </c>
      <c r="I66" s="301">
        <f t="shared" si="13"/>
        <v>2587000</v>
      </c>
      <c r="J66" s="17"/>
      <c r="K66" s="301">
        <f t="shared" si="14"/>
        <v>-146000</v>
      </c>
    </row>
    <row r="67" spans="1:11" ht="15.75">
      <c r="A67" s="291" t="str">
        <f t="shared" si="11"/>
        <v>702_ONDIR_1</v>
      </c>
      <c r="B67" s="293" t="s">
        <v>200</v>
      </c>
      <c r="C67" s="326"/>
      <c r="D67" s="329" t="s">
        <v>201</v>
      </c>
      <c r="E67" s="301">
        <f>IF(ISERROR(VLOOKUP($A67,DECRETI!$A$1:$Z$500,E$4,FALSE)),0,VLOOKUP($A67,DECRETI!$A$1:$Z$500,E$4,FALSE))</f>
        <v>528000</v>
      </c>
      <c r="F67" s="301">
        <f>IF(ISERROR(VLOOKUP($A67,DECRETI!$A$1:$Z$500,F$4,FALSE)),0,VLOOKUP($A67,DECRETI!$A$1:$Z$500,F$4,FALSE))</f>
        <v>54000</v>
      </c>
      <c r="G67" s="301">
        <f t="shared" si="12"/>
        <v>582000</v>
      </c>
      <c r="H67" s="301">
        <f>IF(ISERROR(VLOOKUP($A67,DECRETI!$A$1:$Z$500,H$4,FALSE)),0,VLOOKUP($A67,DECRETI!$A$1:$Z$500,H$4,FALSE))</f>
        <v>2000</v>
      </c>
      <c r="I67" s="301">
        <f t="shared" si="13"/>
        <v>584000</v>
      </c>
      <c r="J67" s="17"/>
      <c r="K67" s="301">
        <f t="shared" si="14"/>
        <v>-54000</v>
      </c>
    </row>
    <row r="68" spans="1:11" ht="15.75">
      <c r="A68" s="291" t="str">
        <f t="shared" si="11"/>
        <v>702_AOIC02_1</v>
      </c>
      <c r="B68" s="292" t="s">
        <v>202</v>
      </c>
      <c r="C68" s="321"/>
      <c r="D68" s="322" t="s">
        <v>203</v>
      </c>
      <c r="E68" s="301">
        <f>IF(ISERROR(VLOOKUP($A68,DECRETI!$A$1:$Z$500,E$4,FALSE)),0,VLOOKUP($A68,DECRETI!$A$1:$Z$500,E$4,FALSE))</f>
        <v>12399000</v>
      </c>
      <c r="F68" s="301">
        <f>IF(ISERROR(VLOOKUP($A68,DECRETI!$A$1:$Z$500,F$4,FALSE)),0,VLOOKUP($A68,DECRETI!$A$1:$Z$500,F$4,FALSE))</f>
        <v>912000</v>
      </c>
      <c r="G68" s="301">
        <f t="shared" si="12"/>
        <v>13311000</v>
      </c>
      <c r="H68" s="301">
        <f>IF(ISERROR(VLOOKUP($A68,DECRETI!$A$1:$Z$500,H$4,FALSE)),0,VLOOKUP($A68,DECRETI!$A$1:$Z$500,H$4,FALSE))</f>
        <v>85000</v>
      </c>
      <c r="I68" s="301">
        <f t="shared" si="13"/>
        <v>13396000</v>
      </c>
      <c r="J68" s="17"/>
      <c r="K68" s="301">
        <f t="shared" si="14"/>
        <v>-912000</v>
      </c>
    </row>
    <row r="69" spans="1:11" ht="15.75">
      <c r="A69" s="291" t="str">
        <f t="shared" si="11"/>
        <v>702_AOIC04_1</v>
      </c>
      <c r="B69" s="292" t="s">
        <v>204</v>
      </c>
      <c r="C69" s="321"/>
      <c r="D69" s="322" t="s">
        <v>205</v>
      </c>
      <c r="E69" s="301">
        <f>IF(ISERROR(VLOOKUP($A69,DECRETI!$A$1:$Z$500,E$4,FALSE)),0,VLOOKUP($A69,DECRETI!$A$1:$Z$500,E$4,FALSE))</f>
        <v>162446772</v>
      </c>
      <c r="F69" s="301">
        <f>IF(ISERROR(VLOOKUP($A69,DECRETI!$A$1:$Z$500,F$4,FALSE)),0,VLOOKUP($A69,DECRETI!$A$1:$Z$500,F$4,FALSE))</f>
        <v>4350000</v>
      </c>
      <c r="G69" s="301">
        <f t="shared" si="12"/>
        <v>166796772</v>
      </c>
      <c r="H69" s="301">
        <f>IF(ISERROR(VLOOKUP($A69,DECRETI!$A$1:$Z$500,H$4,FALSE)),0,VLOOKUP($A69,DECRETI!$A$1:$Z$500,H$4,FALSE))</f>
        <v>78000</v>
      </c>
      <c r="I69" s="301">
        <f t="shared" si="13"/>
        <v>166874772</v>
      </c>
      <c r="J69" s="17"/>
      <c r="K69" s="301">
        <f t="shared" si="14"/>
        <v>-4350000</v>
      </c>
    </row>
    <row r="70" spans="1:11" ht="15.75">
      <c r="A70" s="291" t="str">
        <f t="shared" si="11"/>
        <v>702_AOIC17_1</v>
      </c>
      <c r="B70" s="292" t="s">
        <v>206</v>
      </c>
      <c r="C70" s="321"/>
      <c r="D70" s="322" t="s">
        <v>207</v>
      </c>
      <c r="E70" s="301">
        <f>IF(ISERROR(VLOOKUP($A70,DECRETI!$A$1:$Z$500,E$4,FALSE)),0,VLOOKUP($A70,DECRETI!$A$1:$Z$500,E$4,FALSE))</f>
        <v>0</v>
      </c>
      <c r="F70" s="301">
        <f>IF(ISERROR(VLOOKUP($A70,DECRETI!$A$1:$Z$500,F$4,FALSE)),0,VLOOKUP($A70,DECRETI!$A$1:$Z$500,F$4,FALSE))</f>
        <v>0</v>
      </c>
      <c r="G70" s="301">
        <f t="shared" si="12"/>
        <v>0</v>
      </c>
      <c r="H70" s="301">
        <f>IF(ISERROR(VLOOKUP($A70,DECRETI!$A$1:$Z$500,H$4,FALSE)),0,VLOOKUP($A70,DECRETI!$A$1:$Z$500,H$4,FALSE))</f>
        <v>0</v>
      </c>
      <c r="I70" s="301">
        <f t="shared" si="13"/>
        <v>0</v>
      </c>
      <c r="J70" s="17"/>
      <c r="K70" s="301">
        <f t="shared" si="14"/>
        <v>0</v>
      </c>
    </row>
    <row r="71" spans="1:11" ht="15.75">
      <c r="A71" s="291" t="str">
        <f t="shared" si="11"/>
        <v>702_AOIC06_1</v>
      </c>
      <c r="B71" s="292" t="s">
        <v>208</v>
      </c>
      <c r="C71" s="321"/>
      <c r="D71" s="322" t="s">
        <v>209</v>
      </c>
      <c r="E71" s="301">
        <f>IF(ISERROR(VLOOKUP($A71,DECRETI!$A$1:$Z$500,E$4,FALSE)),0,VLOOKUP($A71,DECRETI!$A$1:$Z$500,E$4,FALSE))</f>
        <v>6967000</v>
      </c>
      <c r="F71" s="301">
        <f>IF(ISERROR(VLOOKUP($A71,DECRETI!$A$1:$Z$500,F$4,FALSE)),0,VLOOKUP($A71,DECRETI!$A$1:$Z$500,F$4,FALSE))</f>
        <v>2008000</v>
      </c>
      <c r="G71" s="301">
        <f t="shared" si="12"/>
        <v>8975000</v>
      </c>
      <c r="H71" s="301">
        <f>IF(ISERROR(VLOOKUP($A71,DECRETI!$A$1:$Z$500,H$4,FALSE)),0,VLOOKUP($A71,DECRETI!$A$1:$Z$500,H$4,FALSE))</f>
        <v>2000</v>
      </c>
      <c r="I71" s="301">
        <f t="shared" si="13"/>
        <v>8977000</v>
      </c>
      <c r="J71" s="17"/>
      <c r="K71" s="301">
        <f t="shared" si="14"/>
        <v>-2008000</v>
      </c>
    </row>
    <row r="72" spans="1:11" ht="15.75">
      <c r="A72" s="291" t="str">
        <f t="shared" si="11"/>
        <v>702_AOIC05_1</v>
      </c>
      <c r="B72" s="292" t="s">
        <v>210</v>
      </c>
      <c r="C72" s="321"/>
      <c r="D72" s="322" t="s">
        <v>211</v>
      </c>
      <c r="E72" s="301">
        <f>IF(ISERROR(VLOOKUP($A72,DECRETI!$A$1:$Z$500,E$4,FALSE)),0,VLOOKUP($A72,DECRETI!$A$1:$Z$500,E$4,FALSE))</f>
        <v>2055000</v>
      </c>
      <c r="F72" s="301">
        <f>IF(ISERROR(VLOOKUP($A72,DECRETI!$A$1:$Z$500,F$4,FALSE)),0,VLOOKUP($A72,DECRETI!$A$1:$Z$500,F$4,FALSE))</f>
        <v>0</v>
      </c>
      <c r="G72" s="301">
        <f t="shared" si="12"/>
        <v>2055000</v>
      </c>
      <c r="H72" s="301">
        <f>IF(ISERROR(VLOOKUP($A72,DECRETI!$A$1:$Z$500,H$4,FALSE)),0,VLOOKUP($A72,DECRETI!$A$1:$Z$500,H$4,FALSE))</f>
        <v>0</v>
      </c>
      <c r="I72" s="301">
        <f t="shared" si="13"/>
        <v>2055000</v>
      </c>
      <c r="J72" s="17"/>
      <c r="K72" s="301">
        <f t="shared" si="14"/>
        <v>0</v>
      </c>
    </row>
    <row r="73" spans="1:11" ht="15.75">
      <c r="A73" s="291" t="str">
        <f t="shared" si="11"/>
        <v>702_AOIC07_1</v>
      </c>
      <c r="B73" s="292" t="s">
        <v>212</v>
      </c>
      <c r="C73" s="321"/>
      <c r="D73" s="325" t="s">
        <v>213</v>
      </c>
      <c r="E73" s="301">
        <f>IF(ISERROR(VLOOKUP($A73,DECRETI!$A$1:$Z$500,E$4,FALSE)),0,VLOOKUP($A73,DECRETI!$A$1:$Z$500,E$4,FALSE))</f>
        <v>2201000</v>
      </c>
      <c r="F73" s="301">
        <f>IF(ISERROR(VLOOKUP($A73,DECRETI!$A$1:$Z$500,F$4,FALSE)),0,VLOOKUP($A73,DECRETI!$A$1:$Z$500,F$4,FALSE))</f>
        <v>138000</v>
      </c>
      <c r="G73" s="301">
        <f t="shared" si="12"/>
        <v>2339000</v>
      </c>
      <c r="H73" s="301">
        <f>IF(ISERROR(VLOOKUP($A73,DECRETI!$A$1:$Z$500,H$4,FALSE)),0,VLOOKUP($A73,DECRETI!$A$1:$Z$500,H$4,FALSE))</f>
        <v>0</v>
      </c>
      <c r="I73" s="301">
        <f t="shared" si="13"/>
        <v>2339000</v>
      </c>
      <c r="J73" s="17"/>
      <c r="K73" s="301">
        <f t="shared" si="14"/>
        <v>-138000</v>
      </c>
    </row>
    <row r="74" spans="1:11" ht="15.75">
      <c r="A74" s="291" t="str">
        <f t="shared" si="11"/>
        <v>702_AOIC08_1</v>
      </c>
      <c r="B74" s="292" t="s">
        <v>214</v>
      </c>
      <c r="C74" s="327"/>
      <c r="D74" s="330" t="s">
        <v>215</v>
      </c>
      <c r="E74" s="328">
        <f>IF(ISERROR(VLOOKUP($A74,DECRETI!$A$1:$Z$500,E$4,FALSE)),0,VLOOKUP($A74,DECRETI!$A$1:$Z$500,E$4,FALSE))</f>
        <v>0</v>
      </c>
      <c r="F74" s="328">
        <f>IF(ISERROR(VLOOKUP($A74,DECRETI!$A$1:$Z$500,F$4,FALSE)),0,VLOOKUP($A74,DECRETI!$A$1:$Z$500,F$4,FALSE))</f>
        <v>0</v>
      </c>
      <c r="G74" s="328">
        <f t="shared" si="12"/>
        <v>0</v>
      </c>
      <c r="H74" s="328">
        <f>IF(ISERROR(VLOOKUP($A74,DECRETI!$A$1:$Z$500,H$4,FALSE)),0,VLOOKUP($A74,DECRETI!$A$1:$Z$500,H$4,FALSE))</f>
        <v>0</v>
      </c>
      <c r="I74" s="328">
        <f t="shared" si="13"/>
        <v>0</v>
      </c>
      <c r="J74" s="17"/>
      <c r="K74" s="328">
        <f t="shared" si="14"/>
        <v>0</v>
      </c>
    </row>
    <row r="75" spans="1:11" ht="15.75">
      <c r="A75" s="17"/>
      <c r="B75" s="17"/>
      <c r="C75" s="281"/>
      <c r="D75" s="294"/>
      <c r="E75" s="294"/>
      <c r="F75" s="294"/>
      <c r="G75" s="294"/>
      <c r="H75" s="294"/>
      <c r="I75" s="294"/>
      <c r="J75" s="17"/>
      <c r="K75" s="17"/>
    </row>
    <row r="76" spans="1:11" ht="15.75">
      <c r="A76" s="291" t="str">
        <f aca="true" t="shared" si="15" ref="A76:A88">+$C$3&amp;"_"&amp;B76&amp;"_"&amp;1</f>
        <v>702_NOTA0_1</v>
      </c>
      <c r="B76" s="17" t="s">
        <v>216</v>
      </c>
      <c r="C76" s="295" t="s">
        <v>217</v>
      </c>
      <c r="D76" s="475">
        <f>IF(ISERROR(VLOOKUP($A76,NOTE!$A$1:$Z$500,4,FALSE)),"",VLOOKUP($A76,NOTE!$A$1:$Z$500,4,FALSE))</f>
      </c>
      <c r="E76" s="476"/>
      <c r="F76" s="476"/>
      <c r="G76" s="476"/>
      <c r="H76" s="476"/>
      <c r="I76" s="477"/>
      <c r="J76" s="17"/>
      <c r="K76" s="17"/>
    </row>
    <row r="77" spans="1:11" ht="15.75">
      <c r="A77" s="291" t="str">
        <f t="shared" si="15"/>
        <v>702_NOTA1_1</v>
      </c>
      <c r="B77" s="17" t="s">
        <v>218</v>
      </c>
      <c r="C77" s="17"/>
      <c r="D77" s="475">
        <f>IF(ISERROR(VLOOKUP($A77,NOTE!$A$1:$Z$500,4,FALSE)),"",VLOOKUP($A77,NOTE!$A$1:$Z$500,4,FALSE))</f>
      </c>
      <c r="E77" s="476"/>
      <c r="F77" s="476"/>
      <c r="G77" s="476"/>
      <c r="H77" s="476"/>
      <c r="I77" s="477"/>
      <c r="J77" s="17"/>
      <c r="K77" s="17"/>
    </row>
    <row r="78" spans="1:11" ht="15.75">
      <c r="A78" s="291" t="str">
        <f t="shared" si="15"/>
        <v>702_NOTA2_1</v>
      </c>
      <c r="B78" s="17" t="s">
        <v>219</v>
      </c>
      <c r="C78" s="17"/>
      <c r="D78" s="475">
        <f>IF(ISERROR(VLOOKUP($A78,NOTE!$A$1:$Z$500,4,FALSE)),"",VLOOKUP($A78,NOTE!$A$1:$Z$500,4,FALSE))</f>
      </c>
      <c r="E78" s="476"/>
      <c r="F78" s="476"/>
      <c r="G78" s="476"/>
      <c r="H78" s="476"/>
      <c r="I78" s="477"/>
      <c r="J78" s="17"/>
      <c r="K78" s="17"/>
    </row>
    <row r="79" spans="1:11" ht="15.75">
      <c r="A79" s="291" t="str">
        <f t="shared" si="15"/>
        <v>702_NOTA3_1</v>
      </c>
      <c r="B79" s="17" t="s">
        <v>220</v>
      </c>
      <c r="C79" s="17"/>
      <c r="D79" s="475">
        <f>IF(ISERROR(VLOOKUP($A79,NOTE!$A$1:$Z$500,4,FALSE)),"",VLOOKUP($A79,NOTE!$A$1:$Z$500,4,FALSE))</f>
      </c>
      <c r="E79" s="476"/>
      <c r="F79" s="476"/>
      <c r="G79" s="476"/>
      <c r="H79" s="476"/>
      <c r="I79" s="477"/>
      <c r="J79" s="17"/>
      <c r="K79" s="17"/>
    </row>
    <row r="80" spans="1:11" ht="15.75">
      <c r="A80" s="291" t="str">
        <f t="shared" si="15"/>
        <v>702_NOTA4_1</v>
      </c>
      <c r="B80" s="17" t="s">
        <v>221</v>
      </c>
      <c r="C80" s="17"/>
      <c r="D80" s="475">
        <f>IF(ISERROR(VLOOKUP($A80,NOTE!$A$1:$Z$500,4,FALSE)),"",VLOOKUP($A80,NOTE!$A$1:$Z$500,4,FALSE))</f>
      </c>
      <c r="E80" s="476"/>
      <c r="F80" s="476"/>
      <c r="G80" s="476"/>
      <c r="H80" s="476"/>
      <c r="I80" s="477"/>
      <c r="J80" s="17"/>
      <c r="K80" s="17"/>
    </row>
    <row r="81" spans="1:11" ht="15.75">
      <c r="A81" s="291" t="str">
        <f t="shared" si="15"/>
        <v>702_NOTA5_1</v>
      </c>
      <c r="B81" s="17" t="s">
        <v>222</v>
      </c>
      <c r="C81" s="17"/>
      <c r="D81" s="475">
        <f>IF(ISERROR(VLOOKUP($A81,NOTE!$A$1:$Z$500,4,FALSE)),"",VLOOKUP($A81,NOTE!$A$1:$Z$500,4,FALSE))</f>
      </c>
      <c r="E81" s="476"/>
      <c r="F81" s="476"/>
      <c r="G81" s="476"/>
      <c r="H81" s="476"/>
      <c r="I81" s="477"/>
      <c r="J81" s="17"/>
      <c r="K81" s="17"/>
    </row>
    <row r="82" spans="1:11" ht="15.75">
      <c r="A82" s="291" t="str">
        <f t="shared" si="15"/>
        <v>702_NOTA6_1</v>
      </c>
      <c r="B82" s="17" t="s">
        <v>223</v>
      </c>
      <c r="C82" s="17"/>
      <c r="D82" s="475">
        <f>IF(ISERROR(VLOOKUP($A82,NOTE!$A$1:$Z$500,4,FALSE)),"",VLOOKUP($A82,NOTE!$A$1:$Z$500,4,FALSE))</f>
      </c>
      <c r="E82" s="476"/>
      <c r="F82" s="476"/>
      <c r="G82" s="476"/>
      <c r="H82" s="476"/>
      <c r="I82" s="477"/>
      <c r="J82" s="17"/>
      <c r="K82" s="17"/>
    </row>
    <row r="83" spans="1:11" s="397" customFormat="1" ht="15.75">
      <c r="A83" s="291" t="str">
        <f t="shared" si="15"/>
        <v>702_NOTA7_1</v>
      </c>
      <c r="B83" s="17" t="s">
        <v>224</v>
      </c>
      <c r="C83" s="17"/>
      <c r="D83" s="478">
        <f>IF(ISERROR(VLOOKUP($A83,NOTE!$A$1:$Z$500,4,FALSE)),"",VLOOKUP($A83,NOTE!$A$1:$Z$500,4,FALSE))</f>
      </c>
      <c r="E83" s="479"/>
      <c r="F83" s="479"/>
      <c r="G83" s="479"/>
      <c r="H83" s="479"/>
      <c r="I83" s="480"/>
      <c r="J83" s="17"/>
      <c r="K83" s="17"/>
    </row>
    <row r="84" spans="1:11" s="397" customFormat="1" ht="15.75">
      <c r="A84" s="291" t="str">
        <f t="shared" si="15"/>
        <v>702_NOTA8_1</v>
      </c>
      <c r="B84" s="17" t="s">
        <v>225</v>
      </c>
      <c r="C84" s="17"/>
      <c r="D84" s="478">
        <f>IF(ISERROR(VLOOKUP($A84,NOTE!$A$1:$Z$500,4,FALSE)),"",VLOOKUP($A84,NOTE!$A$1:$Z$500,4,FALSE))</f>
      </c>
      <c r="E84" s="479"/>
      <c r="F84" s="479"/>
      <c r="G84" s="479"/>
      <c r="H84" s="479"/>
      <c r="I84" s="480"/>
      <c r="J84" s="17"/>
      <c r="K84" s="17"/>
    </row>
    <row r="85" spans="1:11" ht="15.75">
      <c r="A85" s="291" t="str">
        <f t="shared" si="15"/>
        <v>702_NOTA9_1</v>
      </c>
      <c r="B85" s="17" t="s">
        <v>226</v>
      </c>
      <c r="C85" s="17"/>
      <c r="D85" s="475">
        <f>IF(ISERROR(VLOOKUP($A85,NOTE!$A$1:$Z$500,4,FALSE)),"",VLOOKUP($A85,NOTE!$A$1:$Z$500,4,FALSE))</f>
      </c>
      <c r="E85" s="476"/>
      <c r="F85" s="476"/>
      <c r="G85" s="476"/>
      <c r="H85" s="476"/>
      <c r="I85" s="477"/>
      <c r="J85" s="17"/>
      <c r="K85" s="17"/>
    </row>
    <row r="86" spans="1:11" ht="15.75">
      <c r="A86" s="291" t="str">
        <f t="shared" si="15"/>
        <v>702_NOTA10_1</v>
      </c>
      <c r="B86" s="17" t="s">
        <v>227</v>
      </c>
      <c r="C86" s="17"/>
      <c r="D86" s="475">
        <f>IF(ISERROR(VLOOKUP($A86,NOTE!$A$1:$Z$500,4,FALSE)),"",VLOOKUP($A86,NOTE!$A$1:$Z$500,4,FALSE))</f>
      </c>
      <c r="E86" s="476"/>
      <c r="F86" s="476"/>
      <c r="G86" s="476"/>
      <c r="H86" s="476"/>
      <c r="I86" s="477"/>
      <c r="J86" s="17"/>
      <c r="K86" s="17"/>
    </row>
    <row r="87" spans="1:11" ht="15.75">
      <c r="A87" s="291" t="str">
        <f t="shared" si="15"/>
        <v>702_NOTA11_1</v>
      </c>
      <c r="B87" s="17" t="s">
        <v>228</v>
      </c>
      <c r="C87" s="17"/>
      <c r="D87" s="475">
        <f>IF(ISERROR(VLOOKUP($A87,NOTE!$A$1:$Z$500,4,FALSE)),"",VLOOKUP($A87,NOTE!$A$1:$Z$500,4,FALSE))</f>
      </c>
      <c r="E87" s="476"/>
      <c r="F87" s="476"/>
      <c r="G87" s="476"/>
      <c r="H87" s="476"/>
      <c r="I87" s="477"/>
      <c r="J87" s="17"/>
      <c r="K87" s="17"/>
    </row>
    <row r="88" spans="1:11" ht="15.75">
      <c r="A88" s="291" t="str">
        <f t="shared" si="15"/>
        <v>702_NOTA12_1</v>
      </c>
      <c r="B88" s="17" t="s">
        <v>229</v>
      </c>
      <c r="C88" s="17"/>
      <c r="D88" s="475">
        <f>IF(ISERROR(VLOOKUP($A88,NOTE!$A$1:$Z$500,4,FALSE)),"",VLOOKUP($A88,NOTE!$A$1:$Z$500,4,FALSE))</f>
      </c>
      <c r="E88" s="476"/>
      <c r="F88" s="476"/>
      <c r="G88" s="476"/>
      <c r="H88" s="476"/>
      <c r="I88" s="477"/>
      <c r="J88" s="17"/>
      <c r="K88" s="17"/>
    </row>
    <row r="89" spans="1:11" ht="15.75">
      <c r="A89" s="17"/>
      <c r="B89" s="17"/>
      <c r="C89" s="17"/>
      <c r="D89" s="296"/>
      <c r="E89" s="296"/>
      <c r="F89" s="296"/>
      <c r="G89" s="296"/>
      <c r="H89" s="296"/>
      <c r="I89" s="296"/>
      <c r="J89" s="17"/>
      <c r="K89" s="17"/>
    </row>
    <row r="90" spans="1:11" ht="31.5">
      <c r="A90" s="17"/>
      <c r="B90" s="17"/>
      <c r="C90" s="17"/>
      <c r="D90" s="304"/>
      <c r="E90" s="481" t="s">
        <v>230</v>
      </c>
      <c r="F90" s="481"/>
      <c r="G90" s="481"/>
      <c r="H90" s="309" t="s">
        <v>108</v>
      </c>
      <c r="I90" s="309" t="s">
        <v>109</v>
      </c>
      <c r="J90" s="17"/>
      <c r="K90" s="17"/>
    </row>
    <row r="91" spans="1:11" ht="38.25">
      <c r="A91" s="17"/>
      <c r="B91" s="17"/>
      <c r="C91" s="17"/>
      <c r="D91" s="307"/>
      <c r="E91" s="300" t="str">
        <f>E$6</f>
        <v>Preventivo 2019 SANITARIO</v>
      </c>
      <c r="F91" s="300" t="str">
        <f>F$6</f>
        <v>Preventivo 2019 TER</v>
      </c>
      <c r="G91" s="300" t="str">
        <f>G$6</f>
        <v>Preventivo 2019 SAN + TER</v>
      </c>
      <c r="H91" s="49" t="str">
        <f>H$6</f>
        <v>Preventivo 2019 AREU</v>
      </c>
      <c r="I91" s="49" t="str">
        <f>I$6</f>
        <v>Preventivo 2019 TOTALE</v>
      </c>
      <c r="J91" s="17"/>
      <c r="K91" s="49" t="str">
        <f>K$6</f>
        <v>Controllo quadratura</v>
      </c>
    </row>
    <row r="92" spans="1:11" ht="15.75">
      <c r="A92" s="291" t="str">
        <f aca="true" t="shared" si="16" ref="A92:A100">+$C$3&amp;"_"&amp;B92&amp;"_"&amp;1</f>
        <v>702_TRIC_NOALP_1</v>
      </c>
      <c r="B92" s="292" t="s">
        <v>231</v>
      </c>
      <c r="C92" s="294"/>
      <c r="D92" s="310" t="s">
        <v>232</v>
      </c>
      <c r="E92" s="311">
        <f>IF(ISERROR(VLOOKUP($A92,DECRETI!$A$1:$Z$500,E$4,FALSE)),0,VLOOKUP($A92,DECRETI!$A$1:$Z$500,E$4,FALSE))</f>
        <v>370333772</v>
      </c>
      <c r="F92" s="311">
        <f>IF(ISERROR(VLOOKUP($A92,DECRETI!$A$1:$Z$500,F$4,FALSE)),0,VLOOKUP($A92,DECRETI!$A$1:$Z$500,F$4,FALSE))</f>
        <v>20917000</v>
      </c>
      <c r="G92" s="311">
        <f aca="true" t="shared" si="17" ref="G92:G100">+E92+F92</f>
        <v>391250772</v>
      </c>
      <c r="H92" s="311">
        <f>IF(ISERROR(VLOOKUP($A92,DECRETI!$A$1:$Z$500,H$4,FALSE)),0,VLOOKUP($A92,DECRETI!$A$1:$Z$500,H$4,FALSE))</f>
        <v>1284000</v>
      </c>
      <c r="I92" s="311">
        <f aca="true" t="shared" si="18" ref="I92:I100">+G92+H92</f>
        <v>392534772</v>
      </c>
      <c r="J92" s="294"/>
      <c r="K92" s="311">
        <f aca="true" t="shared" si="19" ref="K92:K100">+E92+H92-I92</f>
        <v>-20917000</v>
      </c>
    </row>
    <row r="93" spans="1:11" ht="15.75">
      <c r="A93" s="291" t="str">
        <f t="shared" si="16"/>
        <v>702_TCOS_NOALP_1</v>
      </c>
      <c r="B93" s="292" t="s">
        <v>233</v>
      </c>
      <c r="C93" s="294"/>
      <c r="D93" s="310" t="s">
        <v>234</v>
      </c>
      <c r="E93" s="311">
        <f>IF(ISERROR(VLOOKUP($A93,DECRETI!$A$1:$Z$500,E$4,FALSE)),0,VLOOKUP($A93,DECRETI!$A$1:$Z$500,E$4,FALSE))</f>
        <v>372317772</v>
      </c>
      <c r="F93" s="311">
        <f>IF(ISERROR(VLOOKUP($A93,DECRETI!$A$1:$Z$500,F$4,FALSE)),0,VLOOKUP($A93,DECRETI!$A$1:$Z$500,F$4,FALSE))</f>
        <v>21692000</v>
      </c>
      <c r="G93" s="311">
        <f t="shared" si="17"/>
        <v>394009772</v>
      </c>
      <c r="H93" s="311">
        <f>IF(ISERROR(VLOOKUP($A93,DECRETI!$A$1:$Z$500,H$4,FALSE)),0,VLOOKUP($A93,DECRETI!$A$1:$Z$500,H$4,FALSE))</f>
        <v>1284000</v>
      </c>
      <c r="I93" s="311">
        <f t="shared" si="18"/>
        <v>395293772</v>
      </c>
      <c r="J93" s="294"/>
      <c r="K93" s="311">
        <f t="shared" si="19"/>
        <v>-21692000</v>
      </c>
    </row>
    <row r="94" spans="1:11" ht="15.75">
      <c r="A94" s="291" t="str">
        <f t="shared" si="16"/>
        <v>702_AOIR07_1</v>
      </c>
      <c r="B94" s="292" t="s">
        <v>235</v>
      </c>
      <c r="C94" s="17"/>
      <c r="D94" s="312" t="s">
        <v>236</v>
      </c>
      <c r="E94" s="313">
        <f>IF(ISERROR(VLOOKUP($A94,DECRETI!$A$1:$Z$500,E$4,FALSE)),0,VLOOKUP($A94,DECRETI!$A$1:$Z$500,E$4,FALSE))</f>
        <v>15550000</v>
      </c>
      <c r="F94" s="313">
        <f>IF(ISERROR(VLOOKUP($A94,DECRETI!$A$1:$Z$500,F$4,FALSE)),0,VLOOKUP($A94,DECRETI!$A$1:$Z$500,F$4,FALSE))</f>
        <v>1201000</v>
      </c>
      <c r="G94" s="313">
        <f t="shared" si="17"/>
        <v>16751000</v>
      </c>
      <c r="H94" s="313">
        <f>IF(ISERROR(VLOOKUP($A94,DECRETI!$A$1:$Z$500,H$4,FALSE)),0,VLOOKUP($A94,DECRETI!$A$1:$Z$500,H$4,FALSE))</f>
        <v>0</v>
      </c>
      <c r="I94" s="313">
        <f t="shared" si="18"/>
        <v>16751000</v>
      </c>
      <c r="J94" s="17"/>
      <c r="K94" s="313">
        <f t="shared" si="19"/>
        <v>-1201000</v>
      </c>
    </row>
    <row r="95" spans="1:11" ht="15.75">
      <c r="A95" s="291" t="str">
        <f t="shared" si="16"/>
        <v>702_AOIC03_1</v>
      </c>
      <c r="B95" s="292" t="s">
        <v>237</v>
      </c>
      <c r="C95" s="17"/>
      <c r="D95" s="312" t="s">
        <v>238</v>
      </c>
      <c r="E95" s="313">
        <f>IF(ISERROR(VLOOKUP($A95,DECRETI!$A$1:$Z$500,E$4,FALSE)),0,VLOOKUP($A95,DECRETI!$A$1:$Z$500,E$4,FALSE))</f>
        <v>13566000</v>
      </c>
      <c r="F95" s="313">
        <f>IF(ISERROR(VLOOKUP($A95,DECRETI!$A$1:$Z$500,F$4,FALSE)),0,VLOOKUP($A95,DECRETI!$A$1:$Z$500,F$4,FALSE))</f>
        <v>426000</v>
      </c>
      <c r="G95" s="313">
        <f t="shared" si="17"/>
        <v>13992000</v>
      </c>
      <c r="H95" s="313">
        <f>IF(ISERROR(VLOOKUP($A95,DECRETI!$A$1:$Z$500,H$4,FALSE)),0,VLOOKUP($A95,DECRETI!$A$1:$Z$500,H$4,FALSE))</f>
        <v>0</v>
      </c>
      <c r="I95" s="313">
        <f t="shared" si="18"/>
        <v>13992000</v>
      </c>
      <c r="J95" s="17"/>
      <c r="K95" s="313">
        <f t="shared" si="19"/>
        <v>-426000</v>
      </c>
    </row>
    <row r="96" spans="1:11" ht="15.75">
      <c r="A96" s="291" t="str">
        <f t="shared" si="16"/>
        <v>702_AOIR11_R_1</v>
      </c>
      <c r="B96" s="292" t="s">
        <v>239</v>
      </c>
      <c r="C96" s="17"/>
      <c r="D96" s="312" t="s">
        <v>240</v>
      </c>
      <c r="E96" s="313">
        <f>IF(ISERROR(VLOOKUP($A96,DECRETI!$A$1:$Z$500,E$4,FALSE)),0,VLOOKUP($A96,DECRETI!$A$1:$Z$500,E$4,FALSE))</f>
        <v>0</v>
      </c>
      <c r="F96" s="313">
        <f>IF(ISERROR(VLOOKUP($A96,DECRETI!$A$1:$Z$500,F$4,FALSE)),0,VLOOKUP($A96,DECRETI!$A$1:$Z$500,F$4,FALSE))</f>
        <v>0</v>
      </c>
      <c r="G96" s="313">
        <f t="shared" si="17"/>
        <v>0</v>
      </c>
      <c r="H96" s="313">
        <f>IF(ISERROR(VLOOKUP($A96,DECRETI!$A$1:$Z$500,H$4,FALSE)),0,VLOOKUP($A96,DECRETI!$A$1:$Z$500,H$4,FALSE))</f>
        <v>0</v>
      </c>
      <c r="I96" s="313">
        <f t="shared" si="18"/>
        <v>0</v>
      </c>
      <c r="J96" s="17"/>
      <c r="K96" s="313">
        <f t="shared" si="19"/>
        <v>0</v>
      </c>
    </row>
    <row r="97" spans="1:11" ht="15.75">
      <c r="A97" s="291" t="str">
        <f t="shared" si="16"/>
        <v>702_AOIR12_R_1</v>
      </c>
      <c r="B97" s="292" t="s">
        <v>241</v>
      </c>
      <c r="C97" s="17"/>
      <c r="D97" s="312" t="s">
        <v>242</v>
      </c>
      <c r="E97" s="313">
        <f>IF(ISERROR(VLOOKUP($A97,DECRETI!$A$1:$Z$500,E$4,FALSE)),0,VLOOKUP($A97,DECRETI!$A$1:$Z$500,E$4,FALSE))</f>
        <v>0</v>
      </c>
      <c r="F97" s="313">
        <f>IF(ISERROR(VLOOKUP($A97,DECRETI!$A$1:$Z$500,F$4,FALSE)),0,VLOOKUP($A97,DECRETI!$A$1:$Z$500,F$4,FALSE))</f>
        <v>0</v>
      </c>
      <c r="G97" s="313">
        <f t="shared" si="17"/>
        <v>0</v>
      </c>
      <c r="H97" s="313">
        <f>IF(ISERROR(VLOOKUP($A97,DECRETI!$A$1:$Z$500,H$4,FALSE)),0,VLOOKUP($A97,DECRETI!$A$1:$Z$500,H$4,FALSE))</f>
        <v>0</v>
      </c>
      <c r="I97" s="313">
        <f t="shared" si="18"/>
        <v>0</v>
      </c>
      <c r="J97" s="17"/>
      <c r="K97" s="313">
        <f t="shared" si="19"/>
        <v>0</v>
      </c>
    </row>
    <row r="98" spans="1:11" ht="15.75">
      <c r="A98" s="291" t="str">
        <f t="shared" si="16"/>
        <v>702_TOTRIC_1</v>
      </c>
      <c r="B98" s="297" t="s">
        <v>243</v>
      </c>
      <c r="C98" s="17"/>
      <c r="D98" s="310" t="s">
        <v>244</v>
      </c>
      <c r="E98" s="311">
        <f>IF(ISERROR(VLOOKUP($A98,DECRETI!$A$1:$Z$500,E$4,FALSE)),0,VLOOKUP($A98,DECRETI!$A$1:$Z$500,E$4,FALSE))</f>
        <v>385883772</v>
      </c>
      <c r="F98" s="311">
        <f>IF(ISERROR(VLOOKUP($A98,DECRETI!$A$1:$Z$500,F$4,FALSE)),0,VLOOKUP($A98,DECRETI!$A$1:$Z$500,F$4,FALSE))</f>
        <v>22118000</v>
      </c>
      <c r="G98" s="311">
        <f t="shared" si="17"/>
        <v>408001772</v>
      </c>
      <c r="H98" s="311">
        <f>IF(ISERROR(VLOOKUP($A98,DECRETI!$A$1:$Z$500,H$4,FALSE)),0,VLOOKUP($A98,DECRETI!$A$1:$Z$500,H$4,FALSE))</f>
        <v>1284000</v>
      </c>
      <c r="I98" s="311">
        <f t="shared" si="18"/>
        <v>409285772</v>
      </c>
      <c r="J98" s="17"/>
      <c r="K98" s="311">
        <f t="shared" si="19"/>
        <v>-22118000</v>
      </c>
    </row>
    <row r="99" spans="1:11" ht="15.75">
      <c r="A99" s="291" t="str">
        <f t="shared" si="16"/>
        <v>702_TOTCOS_1</v>
      </c>
      <c r="B99" s="297" t="s">
        <v>245</v>
      </c>
      <c r="C99" s="17"/>
      <c r="D99" s="310" t="s">
        <v>246</v>
      </c>
      <c r="E99" s="311">
        <f>IF(ISERROR(VLOOKUP($A99,DECRETI!$A$1:$Z$500,E$4,FALSE)),0,VLOOKUP($A99,DECRETI!$A$1:$Z$500,E$4,FALSE))</f>
        <v>385883772</v>
      </c>
      <c r="F99" s="311">
        <f>IF(ISERROR(VLOOKUP($A99,DECRETI!$A$1:$Z$500,F$4,FALSE)),0,VLOOKUP($A99,DECRETI!$A$1:$Z$500,F$4,FALSE))</f>
        <v>22118000</v>
      </c>
      <c r="G99" s="311">
        <f t="shared" si="17"/>
        <v>408001772</v>
      </c>
      <c r="H99" s="311">
        <f>IF(ISERROR(VLOOKUP($A99,DECRETI!$A$1:$Z$500,H$4,FALSE)),0,VLOOKUP($A99,DECRETI!$A$1:$Z$500,H$4,FALSE))</f>
        <v>1284000</v>
      </c>
      <c r="I99" s="311">
        <f t="shared" si="18"/>
        <v>409285772</v>
      </c>
      <c r="J99" s="17"/>
      <c r="K99" s="311">
        <f t="shared" si="19"/>
        <v>-22118000</v>
      </c>
    </row>
    <row r="100" spans="1:11" ht="15.75">
      <c r="A100" s="291" t="str">
        <f t="shared" si="16"/>
        <v>702_RISES_1</v>
      </c>
      <c r="B100" s="297" t="s">
        <v>247</v>
      </c>
      <c r="C100" s="17"/>
      <c r="D100" s="310" t="s">
        <v>248</v>
      </c>
      <c r="E100" s="311">
        <f>IF(ISERROR(VLOOKUP($A100,DECRETI!$A$1:$Z$500,E$4,FALSE)),0,VLOOKUP($A100,DECRETI!$A$1:$Z$500,E$4,FALSE))</f>
        <v>0</v>
      </c>
      <c r="F100" s="311">
        <f>IF(ISERROR(VLOOKUP($A100,DECRETI!$A$1:$Z$500,F$4,FALSE)),0,VLOOKUP($A100,DECRETI!$A$1:$Z$500,F$4,FALSE))</f>
        <v>0</v>
      </c>
      <c r="G100" s="311">
        <f t="shared" si="17"/>
        <v>0</v>
      </c>
      <c r="H100" s="311">
        <f>IF(ISERROR(VLOOKUP($A100,DECRETI!$A$1:$Z$500,H$4,FALSE)),0,VLOOKUP($A100,DECRETI!$A$1:$Z$500,H$4,FALSE))</f>
        <v>0</v>
      </c>
      <c r="I100" s="311">
        <f t="shared" si="18"/>
        <v>0</v>
      </c>
      <c r="J100" s="17"/>
      <c r="K100" s="311">
        <f t="shared" si="19"/>
        <v>0</v>
      </c>
    </row>
  </sheetData>
  <sheetProtection password="A01C" sheet="1"/>
  <mergeCells count="15">
    <mergeCell ref="D88:I88"/>
    <mergeCell ref="D78:I78"/>
    <mergeCell ref="D79:I79"/>
    <mergeCell ref="D80:I80"/>
    <mergeCell ref="D81:I81"/>
    <mergeCell ref="E90:G90"/>
    <mergeCell ref="D87:I87"/>
    <mergeCell ref="E5:G5"/>
    <mergeCell ref="D76:I76"/>
    <mergeCell ref="D77:I77"/>
    <mergeCell ref="D82:I82"/>
    <mergeCell ref="D85:I85"/>
    <mergeCell ref="D86:I86"/>
    <mergeCell ref="D83:I83"/>
    <mergeCell ref="D84:I84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80" zoomScaleNormal="80" zoomScalePageLayoutView="0" workbookViewId="0" topLeftCell="B1">
      <selection activeCell="A13" sqref="A1:A16384"/>
    </sheetView>
  </sheetViews>
  <sheetFormatPr defaultColWidth="9.140625" defaultRowHeight="15"/>
  <cols>
    <col min="1" max="1" width="15.57421875" style="0" hidden="1" customWidth="1"/>
    <col min="2" max="2" width="23.7109375" style="0" customWidth="1"/>
    <col min="3" max="3" width="33.421875" style="0" customWidth="1"/>
    <col min="4" max="4" width="80.28125" style="0" customWidth="1"/>
    <col min="5" max="5" width="20.8515625" style="0" customWidth="1"/>
    <col min="6" max="6" width="10.8515625" style="0" customWidth="1"/>
  </cols>
  <sheetData>
    <row r="1" s="397" customFormat="1" ht="15.75">
      <c r="E1" s="414" t="str">
        <f>Info!$B$2&amp;"_Scheda 2"</f>
        <v>702_Scheda 2</v>
      </c>
    </row>
    <row r="2" spans="2:5" s="397" customFormat="1" ht="24" thickBot="1">
      <c r="B2" s="490" t="str">
        <f>"Contributi in c/esercizio da Regione - "&amp;Info!$B$5&amp;" "&amp;Info!$B$3&amp;" - "&amp;Info!$B$6</f>
        <v>Contributi in c/esercizio da Regione - Flussi di cassa 2019 - V2</v>
      </c>
      <c r="C2" s="490"/>
      <c r="D2" s="490"/>
      <c r="E2" s="490"/>
    </row>
    <row r="3" s="397" customFormat="1" ht="15"/>
    <row r="4" spans="2:7" ht="24" thickBot="1">
      <c r="B4" s="85" t="s">
        <v>249</v>
      </c>
      <c r="C4" s="119" t="str">
        <f>Info!$C$2</f>
        <v>ASST SANTI PAOLO E CARLO</v>
      </c>
      <c r="D4" s="86"/>
      <c r="E4" s="87" t="str">
        <f>Info!$B$2</f>
        <v>702</v>
      </c>
      <c r="F4" s="17"/>
      <c r="G4" s="17"/>
    </row>
    <row r="5" spans="2:7" ht="16.5" thickTop="1">
      <c r="B5" s="18"/>
      <c r="C5" s="18"/>
      <c r="D5" s="17"/>
      <c r="E5" s="17"/>
      <c r="F5" s="17"/>
      <c r="G5" s="17"/>
    </row>
    <row r="6" spans="2:7" ht="15.75">
      <c r="B6" s="482" t="s">
        <v>250</v>
      </c>
      <c r="C6" s="482"/>
      <c r="D6" s="19" t="s">
        <v>106</v>
      </c>
      <c r="E6" s="49" t="s">
        <v>251</v>
      </c>
      <c r="F6" s="50" t="s">
        <v>252</v>
      </c>
      <c r="G6" s="50" t="s">
        <v>253</v>
      </c>
    </row>
    <row r="7" spans="2:7" ht="15.75">
      <c r="B7" s="20" t="s">
        <v>254</v>
      </c>
      <c r="C7" s="21" t="s">
        <v>255</v>
      </c>
      <c r="D7" s="21" t="s">
        <v>256</v>
      </c>
      <c r="E7" s="483" t="str">
        <f>Info!$B$5&amp;" "&amp;Info!$B$3</f>
        <v>Flussi di cassa 2019</v>
      </c>
      <c r="F7" s="484"/>
      <c r="G7" s="485"/>
    </row>
    <row r="8" spans="1:7" ht="15.75">
      <c r="A8" s="397" t="s">
        <v>257</v>
      </c>
      <c r="B8" s="23" t="s">
        <v>258</v>
      </c>
      <c r="C8" s="24" t="s">
        <v>259</v>
      </c>
      <c r="D8" s="25" t="s">
        <v>260</v>
      </c>
      <c r="E8" s="261">
        <f>IF(ISERROR(VLOOKUP("TAB1_"&amp;$E$4&amp;"_"&amp;$A8,ASSEGN!$A$1:$Z$200,6,FALSE)),0,VLOOKUP("TAB1_"&amp;$E$4&amp;"_"&amp;$A8,ASSEGN!$A$1:$Z$200,6,FALSE))</f>
        <v>44483298</v>
      </c>
      <c r="F8" s="261">
        <f>IF(ISERROR(VLOOKUP("TAB1_"&amp;$E$4&amp;"_"&amp;$A8,ASSEGN!$A$1:$Z$200,7,FALSE)),0,VLOOKUP("TAB1_"&amp;$E$4&amp;"_"&amp;$A8,ASSEGN!$A$1:$Z$200,7,FALSE))</f>
        <v>0</v>
      </c>
      <c r="G8" s="266">
        <f>+E8+F8</f>
        <v>44483298</v>
      </c>
    </row>
    <row r="9" spans="1:7" ht="15.75">
      <c r="A9" s="397" t="s">
        <v>261</v>
      </c>
      <c r="B9" s="26" t="s">
        <v>262</v>
      </c>
      <c r="C9" s="27" t="s">
        <v>263</v>
      </c>
      <c r="D9" s="28" t="s">
        <v>264</v>
      </c>
      <c r="E9" s="262">
        <f>IF(ISERROR(VLOOKUP("TAB1_"&amp;$E$4&amp;"_"&amp;$A9,ASSEGN!$A$1:$Z$200,6,FALSE)),0,VLOOKUP("TAB1_"&amp;$E$4&amp;"_"&amp;$A9,ASSEGN!$A$1:$Z$200,6,FALSE))</f>
        <v>34985000</v>
      </c>
      <c r="F9" s="263">
        <f>IF(ISERROR(VLOOKUP("TAB1_"&amp;$E$4&amp;"_"&amp;$A9,ASSEGN!$A$1:$Z$200,7,FALSE)),0,VLOOKUP("TAB1_"&amp;$E$4&amp;"_"&amp;$A9,ASSEGN!$A$1:$Z$200,7,FALSE))</f>
        <v>0</v>
      </c>
      <c r="G9" s="263">
        <f>+E9+F9</f>
        <v>34985000</v>
      </c>
    </row>
    <row r="10" spans="1:7" ht="15.75">
      <c r="A10" s="397" t="s">
        <v>265</v>
      </c>
      <c r="B10" s="32"/>
      <c r="C10" s="33"/>
      <c r="D10" s="92" t="s">
        <v>121</v>
      </c>
      <c r="E10" s="267">
        <f>IF(ISERROR(VLOOKUP("TAB1_"&amp;$E$4&amp;"_"&amp;$A10,ASSEGN!$A$1:$Z$200,6,FALSE)),0,VLOOKUP("TAB1_"&amp;$E$4&amp;"_"&amp;$A10,ASSEGN!$A$1:$Z$200,6,FALSE))</f>
        <v>0</v>
      </c>
      <c r="F10" s="268">
        <f>IF(ISERROR(VLOOKUP("TAB1_"&amp;$E$4&amp;"_"&amp;$A10,ASSEGN!$A$1:$Z$200,7,FALSE)),0,VLOOKUP("TAB1_"&amp;$E$4&amp;"_"&amp;$A10,ASSEGN!$A$1:$Z$200,7,FALSE))</f>
        <v>0</v>
      </c>
      <c r="G10" s="268">
        <f>+E10+F10</f>
        <v>0</v>
      </c>
    </row>
    <row r="11" spans="1:7" ht="15">
      <c r="A11" s="397" t="s">
        <v>266</v>
      </c>
      <c r="B11" s="26" t="s">
        <v>267</v>
      </c>
      <c r="C11" s="27" t="s">
        <v>268</v>
      </c>
      <c r="D11" s="30" t="s">
        <v>269</v>
      </c>
      <c r="E11" s="264">
        <f>IF(ISERROR(VLOOKUP("TAB1_"&amp;$E$4&amp;"_"&amp;$A11,ASSEGN!$A$1:$Z$200,6,FALSE)),0,VLOOKUP("TAB1_"&amp;$E$4&amp;"_"&amp;$A11,ASSEGN!$A$1:$Z$200,6,FALSE))</f>
        <v>8540000</v>
      </c>
      <c r="F11" s="265">
        <f>IF(ISERROR(VLOOKUP("TAB1_"&amp;$E$4&amp;"_"&amp;$A11,ASSEGN!$A$1:$Z$200,7,FALSE)),0,VLOOKUP("TAB1_"&amp;$E$4&amp;"_"&amp;$A11,ASSEGN!$A$1:$Z$200,7,FALSE))</f>
        <v>0</v>
      </c>
      <c r="G11" s="265">
        <f aca="true" t="shared" si="0" ref="G11:G35">+E11+F11</f>
        <v>8540000</v>
      </c>
    </row>
    <row r="12" spans="1:7" ht="15">
      <c r="A12" s="397" t="s">
        <v>270</v>
      </c>
      <c r="B12" s="26" t="s">
        <v>267</v>
      </c>
      <c r="C12" s="27" t="s">
        <v>268</v>
      </c>
      <c r="D12" s="30" t="s">
        <v>271</v>
      </c>
      <c r="E12" s="264">
        <f>IF(ISERROR(VLOOKUP("TAB1_"&amp;$E$4&amp;"_"&amp;$A12,ASSEGN!$A$1:$Z$200,6,FALSE)),0,VLOOKUP("TAB1_"&amp;$E$4&amp;"_"&amp;$A12,ASSEGN!$A$1:$Z$200,6,FALSE))</f>
        <v>1488000</v>
      </c>
      <c r="F12" s="265">
        <f>IF(ISERROR(VLOOKUP("TAB1_"&amp;$E$4&amp;"_"&amp;$A12,ASSEGN!$A$1:$Z$200,7,FALSE)),0,VLOOKUP("TAB1_"&amp;$E$4&amp;"_"&amp;$A12,ASSEGN!$A$1:$Z$200,7,FALSE))</f>
        <v>0</v>
      </c>
      <c r="G12" s="265">
        <f t="shared" si="0"/>
        <v>1488000</v>
      </c>
    </row>
    <row r="13" spans="1:7" ht="15">
      <c r="A13" s="397" t="s">
        <v>272</v>
      </c>
      <c r="B13" s="26" t="s">
        <v>267</v>
      </c>
      <c r="C13" s="27" t="s">
        <v>268</v>
      </c>
      <c r="D13" s="30" t="s">
        <v>273</v>
      </c>
      <c r="E13" s="264">
        <f>IF(ISERROR(VLOOKUP("TAB1_"&amp;$E$4&amp;"_"&amp;$A13,ASSEGN!$A$1:$Z$200,6,FALSE)),0,VLOOKUP("TAB1_"&amp;$E$4&amp;"_"&amp;$A13,ASSEGN!$A$1:$Z$200,6,FALSE))</f>
        <v>0</v>
      </c>
      <c r="F13" s="265">
        <f>IF(ISERROR(VLOOKUP("TAB1_"&amp;$E$4&amp;"_"&amp;$A13,ASSEGN!$A$1:$Z$200,7,FALSE)),0,VLOOKUP("TAB1_"&amp;$E$4&amp;"_"&amp;$A13,ASSEGN!$A$1:$Z$200,7,FALSE))</f>
        <v>0</v>
      </c>
      <c r="G13" s="265">
        <f t="shared" si="0"/>
        <v>0</v>
      </c>
    </row>
    <row r="14" spans="1:7" ht="15">
      <c r="A14" s="397" t="s">
        <v>274</v>
      </c>
      <c r="B14" s="26" t="s">
        <v>267</v>
      </c>
      <c r="C14" s="27" t="s">
        <v>268</v>
      </c>
      <c r="D14" s="31" t="s">
        <v>275</v>
      </c>
      <c r="E14" s="264">
        <f>IF(ISERROR(VLOOKUP("TAB1_"&amp;$E$4&amp;"_"&amp;$A14,ASSEGN!$A$1:$Z$200,6,FALSE)),0,VLOOKUP("TAB1_"&amp;$E$4&amp;"_"&amp;$A14,ASSEGN!$A$1:$Z$200,6,FALSE))</f>
        <v>0</v>
      </c>
      <c r="F14" s="265">
        <f>IF(ISERROR(VLOOKUP("TAB1_"&amp;$E$4&amp;"_"&amp;$A14,ASSEGN!$A$1:$Z$200,7,FALSE)),0,VLOOKUP("TAB1_"&amp;$E$4&amp;"_"&amp;$A14,ASSEGN!$A$1:$Z$200,7,FALSE))</f>
        <v>0</v>
      </c>
      <c r="G14" s="265">
        <f t="shared" si="0"/>
        <v>0</v>
      </c>
    </row>
    <row r="15" spans="1:7" ht="15">
      <c r="A15" s="397" t="s">
        <v>276</v>
      </c>
      <c r="B15" s="26" t="s">
        <v>267</v>
      </c>
      <c r="C15" s="27" t="s">
        <v>268</v>
      </c>
      <c r="D15" s="31" t="s">
        <v>277</v>
      </c>
      <c r="E15" s="264">
        <f>IF(ISERROR(VLOOKUP("TAB1_"&amp;$E$4&amp;"_"&amp;$A15,ASSEGN!$A$1:$Z$200,6,FALSE)),0,VLOOKUP("TAB1_"&amp;$E$4&amp;"_"&amp;$A15,ASSEGN!$A$1:$Z$200,6,FALSE))</f>
        <v>0</v>
      </c>
      <c r="F15" s="265">
        <f>IF(ISERROR(VLOOKUP("TAB1_"&amp;$E$4&amp;"_"&amp;$A15,ASSEGN!$A$1:$Z$200,7,FALSE)),0,VLOOKUP("TAB1_"&amp;$E$4&amp;"_"&amp;$A15,ASSEGN!$A$1:$Z$200,7,FALSE))</f>
        <v>0</v>
      </c>
      <c r="G15" s="265">
        <f t="shared" si="0"/>
        <v>0</v>
      </c>
    </row>
    <row r="16" spans="1:7" ht="15">
      <c r="A16" s="397" t="s">
        <v>278</v>
      </c>
      <c r="B16" s="29" t="s">
        <v>267</v>
      </c>
      <c r="C16" s="27" t="s">
        <v>268</v>
      </c>
      <c r="D16" s="412" t="s">
        <v>279</v>
      </c>
      <c r="E16" s="264">
        <f>IF(ISERROR(VLOOKUP("TAB1_"&amp;$E$4&amp;"_"&amp;$A16,ASSEGN!$A$1:$Z$200,6,FALSE)),0,VLOOKUP("TAB1_"&amp;$E$4&amp;"_"&amp;$A16,ASSEGN!$A$1:$Z$200,6,FALSE))</f>
        <v>0</v>
      </c>
      <c r="F16" s="265">
        <f>IF(ISERROR(VLOOKUP("TAB1_"&amp;$E$4&amp;"_"&amp;$A16,ASSEGN!$A$1:$Z$200,7,FALSE)),0,VLOOKUP("TAB1_"&amp;$E$4&amp;"_"&amp;$A16,ASSEGN!$A$1:$Z$200,7,FALSE))</f>
        <v>0</v>
      </c>
      <c r="G16" s="265">
        <f t="shared" si="0"/>
        <v>0</v>
      </c>
    </row>
    <row r="17" spans="1:7" ht="15">
      <c r="A17" s="397" t="s">
        <v>280</v>
      </c>
      <c r="B17" s="26" t="s">
        <v>267</v>
      </c>
      <c r="C17" s="27" t="s">
        <v>268</v>
      </c>
      <c r="D17" s="30" t="s">
        <v>281</v>
      </c>
      <c r="E17" s="264">
        <f>IF(ISERROR(VLOOKUP("TAB1_"&amp;$E$4&amp;"_"&amp;$A17,ASSEGN!$A$1:$Z$200,6,FALSE)),0,VLOOKUP("TAB1_"&amp;$E$4&amp;"_"&amp;$A17,ASSEGN!$A$1:$Z$200,6,FALSE))</f>
        <v>0</v>
      </c>
      <c r="F17" s="265">
        <f>IF(ISERROR(VLOOKUP("TAB1_"&amp;$E$4&amp;"_"&amp;$A17,ASSEGN!$A$1:$Z$200,7,FALSE)),0,VLOOKUP("TAB1_"&amp;$E$4&amp;"_"&amp;$A17,ASSEGN!$A$1:$Z$200,7,FALSE))</f>
        <v>0</v>
      </c>
      <c r="G17" s="265">
        <f t="shared" si="0"/>
        <v>0</v>
      </c>
    </row>
    <row r="18" spans="1:7" ht="15">
      <c r="A18" s="397" t="s">
        <v>282</v>
      </c>
      <c r="B18" s="26" t="s">
        <v>267</v>
      </c>
      <c r="C18" s="27" t="s">
        <v>268</v>
      </c>
      <c r="D18" s="30"/>
      <c r="E18" s="264">
        <f>IF(ISERROR(VLOOKUP("TAB1_"&amp;$E$4&amp;"_"&amp;$A18,ASSEGN!$A$1:$Z$200,6,FALSE)),0,VLOOKUP("TAB1_"&amp;$E$4&amp;"_"&amp;$A18,ASSEGN!$A$1:$Z$200,6,FALSE))</f>
        <v>1793000</v>
      </c>
      <c r="F18" s="265">
        <f>IF(ISERROR(VLOOKUP("TAB1_"&amp;$E$4&amp;"_"&amp;$A18,ASSEGN!$A$1:$Z$200,7,FALSE)),0,VLOOKUP("TAB1_"&amp;$E$4&amp;"_"&amp;$A18,ASSEGN!$A$1:$Z$200,7,FALSE))</f>
        <v>0</v>
      </c>
      <c r="G18" s="265">
        <f t="shared" si="0"/>
        <v>1793000</v>
      </c>
    </row>
    <row r="19" spans="1:7" ht="15">
      <c r="A19" s="397" t="s">
        <v>283</v>
      </c>
      <c r="B19" s="29" t="s">
        <v>267</v>
      </c>
      <c r="C19" s="27" t="s">
        <v>268</v>
      </c>
      <c r="D19" s="30" t="s">
        <v>284</v>
      </c>
      <c r="E19" s="264">
        <f>IF(ISERROR(VLOOKUP("TAB1_"&amp;$E$4&amp;"_"&amp;$A19,ASSEGN!$A$1:$Z$200,6,FALSE)),0,VLOOKUP("TAB1_"&amp;$E$4&amp;"_"&amp;$A19,ASSEGN!$A$1:$Z$200,6,FALSE))</f>
        <v>0</v>
      </c>
      <c r="F19" s="265">
        <f>IF(ISERROR(VLOOKUP("TAB1_"&amp;$E$4&amp;"_"&amp;$A19,ASSEGN!$A$1:$Z$200,7,FALSE)),0,VLOOKUP("TAB1_"&amp;$E$4&amp;"_"&amp;$A19,ASSEGN!$A$1:$Z$200,7,FALSE))</f>
        <v>0</v>
      </c>
      <c r="G19" s="265">
        <f t="shared" si="0"/>
        <v>0</v>
      </c>
    </row>
    <row r="20" spans="1:7" ht="15">
      <c r="A20" s="397" t="s">
        <v>285</v>
      </c>
      <c r="B20" s="26" t="s">
        <v>267</v>
      </c>
      <c r="C20" s="27" t="s">
        <v>268</v>
      </c>
      <c r="D20" s="30" t="s">
        <v>286</v>
      </c>
      <c r="E20" s="264">
        <f>IF(ISERROR(VLOOKUP("TAB1_"&amp;$E$4&amp;"_"&amp;$A20,ASSEGN!$A$1:$Z$200,6,FALSE)),0,VLOOKUP("TAB1_"&amp;$E$4&amp;"_"&amp;$A20,ASSEGN!$A$1:$Z$200,6,FALSE))</f>
        <v>0</v>
      </c>
      <c r="F20" s="265">
        <f>IF(ISERROR(VLOOKUP("TAB1_"&amp;$E$4&amp;"_"&amp;$A20,ASSEGN!$A$1:$Z$200,7,FALSE)),0,VLOOKUP("TAB1_"&amp;$E$4&amp;"_"&amp;$A20,ASSEGN!$A$1:$Z$200,7,FALSE))</f>
        <v>0</v>
      </c>
      <c r="G20" s="265">
        <f t="shared" si="0"/>
        <v>0</v>
      </c>
    </row>
    <row r="21" spans="1:7" ht="15">
      <c r="A21" s="397" t="s">
        <v>287</v>
      </c>
      <c r="B21" s="29" t="s">
        <v>267</v>
      </c>
      <c r="C21" s="27" t="s">
        <v>268</v>
      </c>
      <c r="D21" s="31" t="s">
        <v>288</v>
      </c>
      <c r="E21" s="264">
        <f>IF(ISERROR(VLOOKUP("TAB1_"&amp;$E$4&amp;"_"&amp;$A21,ASSEGN!$A$1:$Z$200,6,FALSE)),0,VLOOKUP("TAB1_"&amp;$E$4&amp;"_"&amp;$A21,ASSEGN!$A$1:$Z$200,6,FALSE))</f>
        <v>3952000</v>
      </c>
      <c r="F21" s="265">
        <f>IF(ISERROR(VLOOKUP("TAB1_"&amp;$E$4&amp;"_"&amp;$A21,ASSEGN!$A$1:$Z$200,7,FALSE)),0,VLOOKUP("TAB1_"&amp;$E$4&amp;"_"&amp;$A21,ASSEGN!$A$1:$Z$200,7,FALSE))</f>
        <v>0</v>
      </c>
      <c r="G21" s="265">
        <f t="shared" si="0"/>
        <v>3952000</v>
      </c>
    </row>
    <row r="22" spans="1:7" s="397" customFormat="1" ht="15">
      <c r="A22" s="397" t="s">
        <v>289</v>
      </c>
      <c r="B22" s="29" t="s">
        <v>267</v>
      </c>
      <c r="C22" s="27" t="s">
        <v>268</v>
      </c>
      <c r="D22" s="31" t="s">
        <v>290</v>
      </c>
      <c r="E22" s="264">
        <f>IF(ISERROR(VLOOKUP("TAB1_"&amp;$E$4&amp;"_"&amp;$A22,ASSEGN!$A$1:$Z$200,6,FALSE)),0,VLOOKUP("TAB1_"&amp;$E$4&amp;"_"&amp;$A22,ASSEGN!$A$1:$Z$200,6,FALSE))</f>
        <v>0</v>
      </c>
      <c r="F22" s="265">
        <f>IF(ISERROR(VLOOKUP("TAB1_"&amp;$E$4&amp;"_"&amp;$A22,ASSEGN!$A$1:$Z$200,7,FALSE)),0,VLOOKUP("TAB1_"&amp;$E$4&amp;"_"&amp;$A22,ASSEGN!$A$1:$Z$200,7,FALSE))</f>
        <v>0</v>
      </c>
      <c r="G22" s="265">
        <f aca="true" t="shared" si="1" ref="G22:G27">+E22+F22</f>
        <v>0</v>
      </c>
    </row>
    <row r="23" spans="1:7" s="397" customFormat="1" ht="15">
      <c r="A23" s="397" t="s">
        <v>291</v>
      </c>
      <c r="B23" s="29" t="s">
        <v>267</v>
      </c>
      <c r="C23" s="27" t="s">
        <v>268</v>
      </c>
      <c r="D23" s="31"/>
      <c r="E23" s="264">
        <f>IF(ISERROR(VLOOKUP("TAB1_"&amp;$E$4&amp;"_"&amp;$A23,ASSEGN!$A$1:$Z$200,6,FALSE)),0,VLOOKUP("TAB1_"&amp;$E$4&amp;"_"&amp;$A23,ASSEGN!$A$1:$Z$200,6,FALSE))</f>
        <v>0</v>
      </c>
      <c r="F23" s="265">
        <f>IF(ISERROR(VLOOKUP("TAB1_"&amp;$E$4&amp;"_"&amp;$A23,ASSEGN!$A$1:$Z$200,7,FALSE)),0,VLOOKUP("TAB1_"&amp;$E$4&amp;"_"&amp;$A23,ASSEGN!$A$1:$Z$200,7,FALSE))</f>
        <v>0</v>
      </c>
      <c r="G23" s="265">
        <f t="shared" si="1"/>
        <v>0</v>
      </c>
    </row>
    <row r="24" spans="1:7" s="397" customFormat="1" ht="15">
      <c r="A24" s="397" t="s">
        <v>292</v>
      </c>
      <c r="B24" s="29" t="s">
        <v>267</v>
      </c>
      <c r="C24" s="27" t="s">
        <v>268</v>
      </c>
      <c r="D24" s="31"/>
      <c r="E24" s="264">
        <f>IF(ISERROR(VLOOKUP("TAB1_"&amp;$E$4&amp;"_"&amp;$A24,ASSEGN!$A$1:$Z$200,6,FALSE)),0,VLOOKUP("TAB1_"&amp;$E$4&amp;"_"&amp;$A24,ASSEGN!$A$1:$Z$200,6,FALSE))</f>
        <v>0</v>
      </c>
      <c r="F24" s="265">
        <f>IF(ISERROR(VLOOKUP("TAB1_"&amp;$E$4&amp;"_"&amp;$A24,ASSEGN!$A$1:$Z$200,7,FALSE)),0,VLOOKUP("TAB1_"&amp;$E$4&amp;"_"&amp;$A24,ASSEGN!$A$1:$Z$200,7,FALSE))</f>
        <v>0</v>
      </c>
      <c r="G24" s="265">
        <f t="shared" si="1"/>
        <v>0</v>
      </c>
    </row>
    <row r="25" spans="1:7" ht="15">
      <c r="A25" s="397" t="s">
        <v>293</v>
      </c>
      <c r="B25" s="29" t="s">
        <v>267</v>
      </c>
      <c r="C25" s="27" t="s">
        <v>294</v>
      </c>
      <c r="D25" s="30" t="s">
        <v>295</v>
      </c>
      <c r="E25" s="264">
        <f>IF(ISERROR(VLOOKUP("TAB1_"&amp;$E$4&amp;"_"&amp;$A25,ASSEGN!$A$1:$Z$200,6,FALSE)),0,VLOOKUP("TAB1_"&amp;$E$4&amp;"_"&amp;$A25,ASSEGN!$A$1:$Z$200,6,FALSE))</f>
        <v>0</v>
      </c>
      <c r="F25" s="265">
        <f>IF(ISERROR(VLOOKUP("TAB1_"&amp;$E$4&amp;"_"&amp;$A25,ASSEGN!$A$1:$Z$200,7,FALSE)),0,VLOOKUP("TAB1_"&amp;$E$4&amp;"_"&amp;$A25,ASSEGN!$A$1:$Z$200,7,FALSE))</f>
        <v>20833000</v>
      </c>
      <c r="G25" s="265">
        <f t="shared" si="1"/>
        <v>20833000</v>
      </c>
    </row>
    <row r="26" spans="1:7" s="397" customFormat="1" ht="15">
      <c r="A26" s="397" t="s">
        <v>296</v>
      </c>
      <c r="B26" s="418" t="s">
        <v>267</v>
      </c>
      <c r="C26" s="419" t="s">
        <v>268</v>
      </c>
      <c r="D26" s="30" t="s">
        <v>297</v>
      </c>
      <c r="E26" s="264">
        <f>IF(ISERROR(VLOOKUP("TAB1_"&amp;$E$4&amp;"_"&amp;$A26,ASSEGN!$A$1:$Z$200,6,FALSE)),0,VLOOKUP("TAB1_"&amp;$E$4&amp;"_"&amp;$A26,ASSEGN!$A$1:$Z$200,6,FALSE))</f>
        <v>0</v>
      </c>
      <c r="F26" s="265">
        <f>IF(ISERROR(VLOOKUP("TAB1_"&amp;$E$4&amp;"_"&amp;$A26,ASSEGN!$A$1:$Z$200,7,FALSE)),0,VLOOKUP("TAB1_"&amp;$E$4&amp;"_"&amp;$A26,ASSEGN!$A$1:$Z$200,7,FALSE))</f>
        <v>0</v>
      </c>
      <c r="G26" s="265">
        <f t="shared" si="1"/>
        <v>0</v>
      </c>
    </row>
    <row r="27" spans="1:7" ht="31.5">
      <c r="A27" s="397" t="s">
        <v>298</v>
      </c>
      <c r="B27" s="26" t="s">
        <v>267</v>
      </c>
      <c r="C27" s="27" t="s">
        <v>299</v>
      </c>
      <c r="D27" s="396" t="s">
        <v>300</v>
      </c>
      <c r="E27" s="264">
        <f>IF(ISERROR(VLOOKUP("TAB1_"&amp;$E$4&amp;"_"&amp;$A27,ASSEGN!$A$1:$Z$200,6,FALSE)),0,VLOOKUP("TAB1_"&amp;$E$4&amp;"_"&amp;$A27,ASSEGN!$A$1:$Z$200,6,FALSE))</f>
        <v>0</v>
      </c>
      <c r="F27" s="265">
        <f>IF(ISERROR(VLOOKUP("TAB1_"&amp;$E$4&amp;"_"&amp;$A27,ASSEGN!$A$1:$Z$200,7,FALSE)),0,VLOOKUP("TAB1_"&amp;$E$4&amp;"_"&amp;$A27,ASSEGN!$A$1:$Z$200,7,FALSE))</f>
        <v>0</v>
      </c>
      <c r="G27" s="265">
        <f t="shared" si="1"/>
        <v>0</v>
      </c>
    </row>
    <row r="28" spans="1:7" ht="15.75">
      <c r="A28" s="397" t="s">
        <v>301</v>
      </c>
      <c r="B28" s="32"/>
      <c r="C28" s="33"/>
      <c r="D28" s="34" t="s">
        <v>115</v>
      </c>
      <c r="E28" s="269">
        <f>IF(ISERROR(VLOOKUP("TAB1_"&amp;$E$4&amp;"_"&amp;$A28,ASSEGN!$A$1:$Z$200,6,FALSE)),0,VLOOKUP("TAB1_"&amp;$E$4&amp;"_"&amp;$A28,ASSEGN!$A$1:$Z$200,6,FALSE))</f>
        <v>0</v>
      </c>
      <c r="F28" s="269">
        <f>IF(ISERROR(VLOOKUP("TAB1_"&amp;$E$4&amp;"_"&amp;$A28,ASSEGN!$A$1:$Z$200,6,FALSE)),0,VLOOKUP("TAB1_"&amp;$E$4&amp;"_"&amp;$A28,ASSEGN!$A$1:$Z$200,7,FALSE))</f>
        <v>0</v>
      </c>
      <c r="G28" s="270">
        <f t="shared" si="0"/>
        <v>0</v>
      </c>
    </row>
    <row r="29" spans="1:7" ht="15">
      <c r="A29" s="397" t="s">
        <v>302</v>
      </c>
      <c r="B29" s="26"/>
      <c r="C29" s="27"/>
      <c r="D29" s="30"/>
      <c r="E29" s="264">
        <f>IF(ISERROR(VLOOKUP("TAB1_"&amp;$E$4&amp;"_"&amp;$A29,ASSEGN!$A$1:$Z$200,6,FALSE)),0,VLOOKUP("TAB1_"&amp;$E$4&amp;"_"&amp;$A29,ASSEGN!$A$1:$Z$200,6,FALSE))</f>
        <v>0</v>
      </c>
      <c r="F29" s="265">
        <f>IF(ISERROR(VLOOKUP("TAB1_"&amp;$E$4&amp;"_"&amp;$A29,ASSEGN!$A$1:$Z$200,7,FALSE)),0,VLOOKUP("TAB1_"&amp;$E$4&amp;"_"&amp;$A29,ASSEGN!$A$1:$Z$200,7,FALSE))</f>
        <v>0</v>
      </c>
      <c r="G29" s="265">
        <f t="shared" si="0"/>
        <v>0</v>
      </c>
    </row>
    <row r="30" spans="1:7" ht="15">
      <c r="A30" s="397" t="s">
        <v>303</v>
      </c>
      <c r="B30" s="26" t="s">
        <v>304</v>
      </c>
      <c r="C30" s="27" t="s">
        <v>305</v>
      </c>
      <c r="D30" s="30" t="s">
        <v>306</v>
      </c>
      <c r="E30" s="264">
        <f>IF(ISERROR(VLOOKUP("TAB1_"&amp;$E$4&amp;"_"&amp;$A30,ASSEGN!$A$1:$Z$200,6,FALSE)),0,VLOOKUP("TAB1_"&amp;$E$4&amp;"_"&amp;$A30,ASSEGN!$A$1:$Z$200,6,FALSE))</f>
        <v>13096000</v>
      </c>
      <c r="F30" s="265">
        <f>IF(ISERROR(VLOOKUP("TAB1_"&amp;$E$4&amp;"_"&amp;$A30,ASSEGN!$A$1:$Z$200,7,FALSE)),0,VLOOKUP("TAB1_"&amp;$E$4&amp;"_"&amp;$A30,ASSEGN!$A$1:$Z$200,7,FALSE))</f>
        <v>0</v>
      </c>
      <c r="G30" s="265">
        <f t="shared" si="0"/>
        <v>13096000</v>
      </c>
    </row>
    <row r="31" spans="1:7" ht="15">
      <c r="A31" s="397" t="s">
        <v>307</v>
      </c>
      <c r="B31" s="26" t="s">
        <v>304</v>
      </c>
      <c r="C31" s="27" t="s">
        <v>305</v>
      </c>
      <c r="D31" s="30" t="s">
        <v>308</v>
      </c>
      <c r="E31" s="264">
        <f>IF(ISERROR(VLOOKUP("TAB1_"&amp;$E$4&amp;"_"&amp;$A31,ASSEGN!$A$1:$Z$200,6,FALSE)),0,VLOOKUP("TAB1_"&amp;$E$4&amp;"_"&amp;$A31,ASSEGN!$A$1:$Z$200,6,FALSE))</f>
        <v>0</v>
      </c>
      <c r="F31" s="265">
        <f>IF(ISERROR(VLOOKUP("TAB1_"&amp;$E$4&amp;"_"&amp;$A31,ASSEGN!$A$1:$Z$200,7,FALSE)),0,VLOOKUP("TAB1_"&amp;$E$4&amp;"_"&amp;$A31,ASSEGN!$A$1:$Z$200,7,FALSE))</f>
        <v>0</v>
      </c>
      <c r="G31" s="265">
        <f t="shared" si="0"/>
        <v>0</v>
      </c>
    </row>
    <row r="32" spans="1:7" ht="15.75">
      <c r="A32" s="397" t="s">
        <v>309</v>
      </c>
      <c r="B32" s="35"/>
      <c r="C32" s="36"/>
      <c r="D32" s="37" t="s">
        <v>124</v>
      </c>
      <c r="E32" s="271">
        <f>IF(ISERROR(VLOOKUP("TAB1_"&amp;$E$4&amp;"_"&amp;$A32,ASSEGN!$A$1:$Z$200,6,FALSE)),0,VLOOKUP("TAB1_"&amp;$E$4&amp;"_"&amp;$A32,ASSEGN!$A$1:$Z$200,6,FALSE))</f>
        <v>0</v>
      </c>
      <c r="F32" s="272">
        <f>IF(ISERROR(VLOOKUP("TAB1_"&amp;$E$4&amp;"_"&amp;$A32,ASSEGN!$A$1:$Z$200,7,FALSE)),0,VLOOKUP("TAB1_"&amp;$E$4&amp;"_"&amp;$A32,ASSEGN!$A$1:$Z$200,7,FALSE))</f>
        <v>0</v>
      </c>
      <c r="G32" s="270">
        <f t="shared" si="0"/>
        <v>0</v>
      </c>
    </row>
    <row r="33" spans="1:7" ht="15">
      <c r="A33" s="397" t="s">
        <v>310</v>
      </c>
      <c r="B33" s="26" t="s">
        <v>311</v>
      </c>
      <c r="C33" s="27" t="s">
        <v>312</v>
      </c>
      <c r="D33" s="30" t="s">
        <v>313</v>
      </c>
      <c r="E33" s="264">
        <f>IF(ISERROR(VLOOKUP("TAB1_"&amp;$E$4&amp;"_"&amp;$A33,ASSEGN!$A$1:$Z$200,6,FALSE)),0,VLOOKUP("TAB1_"&amp;$E$4&amp;"_"&amp;$A33,ASSEGN!$A$1:$Z$200,6,FALSE))</f>
        <v>0</v>
      </c>
      <c r="F33" s="265">
        <f>IF(ISERROR(VLOOKUP("TAB1_"&amp;$E$4&amp;"_"&amp;$A33,ASSEGN!$A$1:$Z$200,7,FALSE)),0,VLOOKUP("TAB1_"&amp;$E$4&amp;"_"&amp;$A33,ASSEGN!$A$1:$Z$200,7,FALSE))</f>
        <v>0</v>
      </c>
      <c r="G33" s="265">
        <f t="shared" si="0"/>
        <v>0</v>
      </c>
    </row>
    <row r="34" spans="1:7" s="397" customFormat="1" ht="15">
      <c r="A34" s="397" t="s">
        <v>314</v>
      </c>
      <c r="B34" s="420" t="s">
        <v>311</v>
      </c>
      <c r="C34" s="421" t="s">
        <v>315</v>
      </c>
      <c r="D34" s="422" t="s">
        <v>316</v>
      </c>
      <c r="E34" s="264">
        <f>IF(ISERROR(VLOOKUP("TAB1_"&amp;$E$4&amp;"_"&amp;$A34,ASSEGN!$A$1:$Z$200,6,FALSE)),0,VLOOKUP("TAB1_"&amp;$E$4&amp;"_"&amp;$A34,ASSEGN!$A$1:$Z$200,6,FALSE))</f>
        <v>0</v>
      </c>
      <c r="F34" s="265">
        <f>IF(ISERROR(VLOOKUP("TAB1_"&amp;$E$4&amp;"_"&amp;$A34,ASSEGN!$A$1:$Z$200,7,FALSE)),0,VLOOKUP("TAB1_"&amp;$E$4&amp;"_"&amp;$A34,ASSEGN!$A$1:$Z$200,7,FALSE))</f>
        <v>0</v>
      </c>
      <c r="G34" s="265">
        <f>+E34+F34</f>
        <v>0</v>
      </c>
    </row>
    <row r="35" spans="1:7" ht="15.75">
      <c r="A35" s="397" t="s">
        <v>317</v>
      </c>
      <c r="B35" s="38"/>
      <c r="C35" s="39"/>
      <c r="D35" s="40" t="s">
        <v>126</v>
      </c>
      <c r="E35" s="273">
        <f>IF(ISERROR(VLOOKUP("TAB1_"&amp;$E$4&amp;"_"&amp;$A35,ASSEGN!$A$1:$Z$200,6,FALSE)),0,VLOOKUP("TAB1_"&amp;$E$4&amp;"_"&amp;$A35,ASSEGN!$A$1:$Z$200,6,FALSE))</f>
        <v>0</v>
      </c>
      <c r="F35" s="274">
        <f>IF(ISERROR(VLOOKUP("TAB1_"&amp;$E$4&amp;"_"&amp;$A35,ASSEGN!$A$1:$Z$200,7,FALSE)),0,VLOOKUP("TAB1_"&amp;$E$4&amp;"_"&amp;$A35,ASSEGN!$A$1:$Z$200,7,FALSE))</f>
        <v>0</v>
      </c>
      <c r="G35" s="274">
        <f t="shared" si="0"/>
        <v>0</v>
      </c>
    </row>
    <row r="36" spans="2:7" ht="15.75">
      <c r="B36" s="17"/>
      <c r="C36" s="17"/>
      <c r="D36" s="17"/>
      <c r="E36" s="17"/>
      <c r="F36" s="17"/>
      <c r="G36" s="17"/>
    </row>
    <row r="37" spans="2:7" ht="15.75">
      <c r="B37" s="17"/>
      <c r="C37" s="18"/>
      <c r="D37" s="17"/>
      <c r="E37" s="17"/>
      <c r="F37" s="17"/>
      <c r="G37" s="17"/>
    </row>
    <row r="38" spans="2:7" ht="25.5">
      <c r="B38" s="482" t="s">
        <v>250</v>
      </c>
      <c r="C38" s="482"/>
      <c r="D38" s="41"/>
      <c r="E38" s="42" t="s">
        <v>106</v>
      </c>
      <c r="F38" s="17"/>
      <c r="G38" s="17"/>
    </row>
    <row r="39" spans="2:7" ht="15.75">
      <c r="B39" s="84" t="s">
        <v>254</v>
      </c>
      <c r="C39" s="84" t="s">
        <v>318</v>
      </c>
      <c r="D39" s="43" t="s">
        <v>256</v>
      </c>
      <c r="E39" s="22" t="str">
        <f>E7</f>
        <v>Flussi di cassa 2019</v>
      </c>
      <c r="F39" s="17"/>
      <c r="G39" s="17"/>
    </row>
    <row r="40" spans="1:7" ht="15.75" customHeight="1">
      <c r="A40" s="397" t="s">
        <v>319</v>
      </c>
      <c r="B40" s="44" t="s">
        <v>320</v>
      </c>
      <c r="C40" s="44" t="s">
        <v>321</v>
      </c>
      <c r="D40" s="486" t="s">
        <v>322</v>
      </c>
      <c r="E40" s="488">
        <f>IF(ISERROR(VLOOKUP("TAB1_"&amp;$E$4&amp;"_"&amp;$A40,ASSEGN!$A$1:$Z$200,6,FALSE)),0,VLOOKUP("TAB1_"&amp;$E$4&amp;"_"&amp;$A40,ASSEGN!$A$1:$Z$200,6,FALSE))</f>
        <v>0</v>
      </c>
      <c r="F40" s="17"/>
      <c r="G40" s="17"/>
    </row>
    <row r="41" spans="2:7" ht="78.75">
      <c r="B41" s="45" t="s">
        <v>323</v>
      </c>
      <c r="C41" s="46" t="s">
        <v>324</v>
      </c>
      <c r="D41" s="487"/>
      <c r="E41" s="489">
        <f>IF(ISERROR(VLOOKUP("TAB1_"&amp;$E$4&amp;"_"&amp;$A41,#REF!,6,FALSE)),0,VLOOKUP("TAB1_"&amp;$E$4&amp;"_"&amp;$A41,#REF!,6,FALSE))</f>
        <v>0</v>
      </c>
      <c r="F41" s="17"/>
      <c r="G41" s="17"/>
    </row>
    <row r="44" spans="1:5" ht="25.5">
      <c r="A44" s="397"/>
      <c r="B44" s="423"/>
      <c r="C44" s="424"/>
      <c r="D44" s="425" t="s">
        <v>325</v>
      </c>
      <c r="E44" s="42" t="s">
        <v>106</v>
      </c>
    </row>
    <row r="45" spans="1:5" ht="15.75">
      <c r="A45" s="397"/>
      <c r="B45" s="84" t="s">
        <v>254</v>
      </c>
      <c r="C45" s="84" t="s">
        <v>326</v>
      </c>
      <c r="D45" s="43" t="s">
        <v>256</v>
      </c>
      <c r="E45" s="22" t="str">
        <f>E7</f>
        <v>Flussi di cassa 2019</v>
      </c>
    </row>
    <row r="46" spans="1:5" ht="15">
      <c r="A46" s="397" t="s">
        <v>327</v>
      </c>
      <c r="B46" s="426" t="s">
        <v>267</v>
      </c>
      <c r="C46" s="427" t="s">
        <v>328</v>
      </c>
      <c r="D46" s="428" t="s">
        <v>329</v>
      </c>
      <c r="E46" s="429">
        <f>IF(ISERROR(VLOOKUP("TAB1_"&amp;$E$4&amp;"_"&amp;$A46,ASSEGN!$A$1:$Z$200,6,FALSE)),0,VLOOKUP("TAB1_"&amp;$E$4&amp;"_"&amp;$A46,ASSEGN!$A$1:$Z$200,6,FALSE))</f>
        <v>0</v>
      </c>
    </row>
  </sheetData>
  <sheetProtection password="A01C" sheet="1"/>
  <mergeCells count="6">
    <mergeCell ref="B6:C6"/>
    <mergeCell ref="E7:G7"/>
    <mergeCell ref="B38:C38"/>
    <mergeCell ref="D40:D41"/>
    <mergeCell ref="E40:E41"/>
    <mergeCell ref="B2:E2"/>
  </mergeCells>
  <printOptions/>
  <pageMargins left="0.7" right="0.7" top="0.75" bottom="0.75" header="0.3" footer="0.3"/>
  <pageSetup fitToHeight="1" fitToWidth="1" horizontalDpi="600" verticalDpi="600" orientation="landscape" paperSize="9" scale="77" r:id="rId1"/>
  <headerFooter>
    <oddHeader>&amp;L&amp;14Piano di cassa dei flussi prospettici&amp;R&amp;14&amp;D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showGridLines="0" zoomScale="60" zoomScaleNormal="60" zoomScaleSheetLayoutView="30" zoomScalePageLayoutView="0" workbookViewId="0" topLeftCell="B1">
      <pane xSplit="1" ySplit="8" topLeftCell="T6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X34" sqref="X34"/>
    </sheetView>
  </sheetViews>
  <sheetFormatPr defaultColWidth="9.140625" defaultRowHeight="15"/>
  <cols>
    <col min="1" max="1" width="14.7109375" style="11" hidden="1" customWidth="1"/>
    <col min="2" max="2" width="201.28125" style="10" customWidth="1"/>
    <col min="3" max="42" width="25.7109375" style="6" customWidth="1"/>
    <col min="43" max="45" width="25.7109375" style="11" customWidth="1"/>
    <col min="46" max="16384" width="9.140625" style="11" customWidth="1"/>
  </cols>
  <sheetData>
    <row r="1" spans="3:42" s="8" customFormat="1" ht="18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s="8" customFormat="1" ht="18.75">
      <c r="B2" s="132" t="s">
        <v>330</v>
      </c>
      <c r="C2" s="133" t="s">
        <v>331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3" ht="26.25">
      <c r="B3" s="134" t="str">
        <f>Info!$C$2</f>
        <v>ASST SANTI PAOLO E CARLO</v>
      </c>
      <c r="C3" s="134" t="str">
        <f>Info!$B$2</f>
        <v>702</v>
      </c>
    </row>
    <row r="6" spans="3:45" ht="26.25">
      <c r="C6" s="499" t="s">
        <v>332</v>
      </c>
      <c r="D6" s="500"/>
      <c r="E6" s="500"/>
      <c r="F6" s="500"/>
      <c r="G6" s="500"/>
      <c r="H6" s="500"/>
      <c r="I6" s="500"/>
      <c r="J6" s="500"/>
      <c r="K6" s="500"/>
      <c r="L6" s="501"/>
      <c r="M6" s="499" t="s">
        <v>333</v>
      </c>
      <c r="N6" s="500"/>
      <c r="O6" s="500"/>
      <c r="P6" s="500"/>
      <c r="Q6" s="500"/>
      <c r="R6" s="500"/>
      <c r="S6" s="500"/>
      <c r="T6" s="500"/>
      <c r="U6" s="500"/>
      <c r="V6" s="501"/>
      <c r="W6" s="499" t="s">
        <v>334</v>
      </c>
      <c r="X6" s="500"/>
      <c r="Y6" s="500"/>
      <c r="Z6" s="500"/>
      <c r="AA6" s="500"/>
      <c r="AB6" s="500"/>
      <c r="AC6" s="500"/>
      <c r="AD6" s="500"/>
      <c r="AE6" s="500"/>
      <c r="AF6" s="501"/>
      <c r="AG6" s="499" t="s">
        <v>335</v>
      </c>
      <c r="AH6" s="500"/>
      <c r="AI6" s="500"/>
      <c r="AJ6" s="500"/>
      <c r="AK6" s="500"/>
      <c r="AL6" s="500"/>
      <c r="AM6" s="500"/>
      <c r="AN6" s="500"/>
      <c r="AO6" s="500"/>
      <c r="AP6" s="501"/>
      <c r="AQ6" s="503" t="s">
        <v>336</v>
      </c>
      <c r="AR6" s="493" t="s">
        <v>337</v>
      </c>
      <c r="AS6" s="496" t="s">
        <v>338</v>
      </c>
    </row>
    <row r="7" spans="2:45" s="1" customFormat="1" ht="55.5" customHeight="1">
      <c r="B7" s="508" t="s">
        <v>339</v>
      </c>
      <c r="C7" s="502" t="s">
        <v>340</v>
      </c>
      <c r="D7" s="502"/>
      <c r="E7" s="502"/>
      <c r="F7" s="502" t="s">
        <v>341</v>
      </c>
      <c r="G7" s="502"/>
      <c r="H7" s="502"/>
      <c r="I7" s="506" t="s">
        <v>342</v>
      </c>
      <c r="J7" s="502"/>
      <c r="K7" s="507"/>
      <c r="L7" s="491" t="s">
        <v>343</v>
      </c>
      <c r="M7" s="502" t="s">
        <v>344</v>
      </c>
      <c r="N7" s="502"/>
      <c r="O7" s="502"/>
      <c r="P7" s="502" t="s">
        <v>345</v>
      </c>
      <c r="Q7" s="502"/>
      <c r="R7" s="502"/>
      <c r="S7" s="506" t="s">
        <v>346</v>
      </c>
      <c r="T7" s="502"/>
      <c r="U7" s="507"/>
      <c r="V7" s="491" t="s">
        <v>343</v>
      </c>
      <c r="W7" s="502" t="s">
        <v>347</v>
      </c>
      <c r="X7" s="502"/>
      <c r="Y7" s="502"/>
      <c r="Z7" s="502" t="s">
        <v>348</v>
      </c>
      <c r="AA7" s="502"/>
      <c r="AB7" s="502"/>
      <c r="AC7" s="506" t="s">
        <v>349</v>
      </c>
      <c r="AD7" s="502"/>
      <c r="AE7" s="507"/>
      <c r="AF7" s="491" t="s">
        <v>343</v>
      </c>
      <c r="AG7" s="502" t="s">
        <v>350</v>
      </c>
      <c r="AH7" s="502"/>
      <c r="AI7" s="502"/>
      <c r="AJ7" s="502" t="s">
        <v>351</v>
      </c>
      <c r="AK7" s="502"/>
      <c r="AL7" s="502"/>
      <c r="AM7" s="506" t="s">
        <v>352</v>
      </c>
      <c r="AN7" s="502"/>
      <c r="AO7" s="507"/>
      <c r="AP7" s="491" t="s">
        <v>343</v>
      </c>
      <c r="AQ7" s="504"/>
      <c r="AR7" s="494"/>
      <c r="AS7" s="497"/>
    </row>
    <row r="8" spans="2:45" ht="37.5">
      <c r="B8" s="508"/>
      <c r="C8" s="4" t="s">
        <v>353</v>
      </c>
      <c r="D8" s="4" t="s">
        <v>354</v>
      </c>
      <c r="E8" s="2" t="s">
        <v>355</v>
      </c>
      <c r="F8" s="4" t="s">
        <v>353</v>
      </c>
      <c r="G8" s="4" t="s">
        <v>354</v>
      </c>
      <c r="H8" s="2" t="s">
        <v>355</v>
      </c>
      <c r="I8" s="4" t="s">
        <v>353</v>
      </c>
      <c r="J8" s="4" t="s">
        <v>354</v>
      </c>
      <c r="K8" s="5" t="s">
        <v>355</v>
      </c>
      <c r="L8" s="492"/>
      <c r="M8" s="4" t="s">
        <v>353</v>
      </c>
      <c r="N8" s="4" t="s">
        <v>354</v>
      </c>
      <c r="O8" s="2" t="s">
        <v>355</v>
      </c>
      <c r="P8" s="4" t="s">
        <v>353</v>
      </c>
      <c r="Q8" s="4" t="s">
        <v>354</v>
      </c>
      <c r="R8" s="2" t="s">
        <v>355</v>
      </c>
      <c r="S8" s="4" t="s">
        <v>353</v>
      </c>
      <c r="T8" s="4" t="s">
        <v>354</v>
      </c>
      <c r="U8" s="5" t="s">
        <v>355</v>
      </c>
      <c r="V8" s="492"/>
      <c r="W8" s="4" t="s">
        <v>353</v>
      </c>
      <c r="X8" s="4" t="s">
        <v>354</v>
      </c>
      <c r="Y8" s="2" t="s">
        <v>355</v>
      </c>
      <c r="Z8" s="4" t="s">
        <v>353</v>
      </c>
      <c r="AA8" s="4" t="s">
        <v>354</v>
      </c>
      <c r="AB8" s="2" t="s">
        <v>355</v>
      </c>
      <c r="AC8" s="4" t="s">
        <v>353</v>
      </c>
      <c r="AD8" s="4" t="s">
        <v>354</v>
      </c>
      <c r="AE8" s="5" t="s">
        <v>355</v>
      </c>
      <c r="AF8" s="492"/>
      <c r="AG8" s="4" t="s">
        <v>353</v>
      </c>
      <c r="AH8" s="4" t="s">
        <v>354</v>
      </c>
      <c r="AI8" s="2" t="s">
        <v>355</v>
      </c>
      <c r="AJ8" s="4" t="s">
        <v>353</v>
      </c>
      <c r="AK8" s="4" t="s">
        <v>354</v>
      </c>
      <c r="AL8" s="2" t="s">
        <v>355</v>
      </c>
      <c r="AM8" s="4" t="s">
        <v>353</v>
      </c>
      <c r="AN8" s="4" t="s">
        <v>354</v>
      </c>
      <c r="AO8" s="5" t="s">
        <v>355</v>
      </c>
      <c r="AP8" s="492"/>
      <c r="AQ8" s="505"/>
      <c r="AR8" s="495"/>
      <c r="AS8" s="498"/>
    </row>
    <row r="9" spans="2:45" ht="26.25">
      <c r="B9" s="120" t="s">
        <v>356</v>
      </c>
      <c r="C9" s="121"/>
      <c r="D9" s="122"/>
      <c r="E9" s="123">
        <v>1681425</v>
      </c>
      <c r="F9" s="121"/>
      <c r="G9" s="122"/>
      <c r="H9" s="123">
        <v>10493254</v>
      </c>
      <c r="I9" s="121"/>
      <c r="J9" s="122"/>
      <c r="K9" s="123">
        <v>11220449</v>
      </c>
      <c r="L9" s="124">
        <f>K9</f>
        <v>11220449</v>
      </c>
      <c r="M9" s="121"/>
      <c r="N9" s="122"/>
      <c r="O9" s="123">
        <v>3990077</v>
      </c>
      <c r="P9" s="121"/>
      <c r="Q9" s="122"/>
      <c r="R9" s="123">
        <f>O80</f>
        <v>5273977</v>
      </c>
      <c r="S9" s="121"/>
      <c r="T9" s="122"/>
      <c r="U9" s="123">
        <f>R80</f>
        <v>7470877</v>
      </c>
      <c r="V9" s="124">
        <f>U9</f>
        <v>7470877</v>
      </c>
      <c r="W9" s="121"/>
      <c r="X9" s="122"/>
      <c r="Y9" s="123">
        <f>U80</f>
        <v>4767777</v>
      </c>
      <c r="Z9" s="121"/>
      <c r="AA9" s="122"/>
      <c r="AB9" s="123">
        <f>Y80</f>
        <v>8494677</v>
      </c>
      <c r="AC9" s="121"/>
      <c r="AD9" s="122"/>
      <c r="AE9" s="123">
        <f>AB80</f>
        <v>7441577</v>
      </c>
      <c r="AF9" s="124">
        <f>AE9</f>
        <v>7441577</v>
      </c>
      <c r="AG9" s="121"/>
      <c r="AH9" s="122"/>
      <c r="AI9" s="123">
        <f>AE80</f>
        <v>7341479</v>
      </c>
      <c r="AJ9" s="121"/>
      <c r="AK9" s="122"/>
      <c r="AL9" s="123">
        <f>AI80</f>
        <v>6731379</v>
      </c>
      <c r="AM9" s="121"/>
      <c r="AN9" s="122"/>
      <c r="AO9" s="123">
        <f>AL80</f>
        <v>7511279</v>
      </c>
      <c r="AP9" s="124">
        <f>AO9</f>
        <v>7511279</v>
      </c>
      <c r="AQ9" s="125"/>
      <c r="AR9" s="125"/>
      <c r="AS9" s="125"/>
    </row>
    <row r="10" spans="2:45" ht="54" customHeight="1">
      <c r="B10" s="126" t="s">
        <v>357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</row>
    <row r="11" spans="2:45" ht="26.25">
      <c r="B11" s="129" t="s">
        <v>358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1"/>
    </row>
    <row r="12" spans="1:45" ht="25.5" customHeight="1">
      <c r="A12" s="11" t="s">
        <v>359</v>
      </c>
      <c r="B12" s="135" t="s">
        <v>360</v>
      </c>
      <c r="C12" s="136">
        <f>SUM(C13:C14)</f>
        <v>9311000</v>
      </c>
      <c r="D12" s="189">
        <f>SUM(D13:D14)</f>
        <v>0</v>
      </c>
      <c r="E12" s="137">
        <f aca="true" t="shared" si="0" ref="E12:E17">SUM(C12:D12)</f>
        <v>9311000</v>
      </c>
      <c r="F12" s="136">
        <f>SUM(F13:F14)</f>
        <v>9311000</v>
      </c>
      <c r="G12" s="189">
        <f>SUM(G13:G14)</f>
        <v>0</v>
      </c>
      <c r="H12" s="137">
        <f aca="true" t="shared" si="1" ref="H12:H17">SUM(F12:G12)</f>
        <v>9311000</v>
      </c>
      <c r="I12" s="136">
        <f>SUM(I13:I14)</f>
        <v>9311000</v>
      </c>
      <c r="J12" s="189">
        <f>SUM(J13:J14)</f>
        <v>0</v>
      </c>
      <c r="K12" s="137">
        <f aca="true" t="shared" si="2" ref="K12:K17">SUM(I12:J12)</f>
        <v>9311000</v>
      </c>
      <c r="L12" s="210">
        <f aca="true" t="shared" si="3" ref="L12:L17">SUM(E12,H12,K12)</f>
        <v>27933000</v>
      </c>
      <c r="M12" s="136">
        <f>SUM(M13:M14)</f>
        <v>8274000</v>
      </c>
      <c r="N12" s="189">
        <f>SUM(N13:N14)</f>
        <v>0</v>
      </c>
      <c r="O12" s="137">
        <f aca="true" t="shared" si="4" ref="O12:O17">SUM(M12:N12)</f>
        <v>8274000</v>
      </c>
      <c r="P12" s="136">
        <f>SUM(P13:P14)</f>
        <v>8274000</v>
      </c>
      <c r="Q12" s="189">
        <f>SUM(Q13:Q14)</f>
        <v>0</v>
      </c>
      <c r="R12" s="137">
        <f aca="true" t="shared" si="5" ref="R12:R17">SUM(P12:Q12)</f>
        <v>8274000</v>
      </c>
      <c r="S12" s="136">
        <f>SUM(S13:S14)</f>
        <v>8274000</v>
      </c>
      <c r="T12" s="189">
        <f>SUM(T13:T14)</f>
        <v>0</v>
      </c>
      <c r="U12" s="137">
        <f aca="true" t="shared" si="6" ref="U12:U17">SUM(S12:T12)</f>
        <v>8274000</v>
      </c>
      <c r="V12" s="210">
        <f aca="true" t="shared" si="7" ref="V12:V17">SUM(O12,R12,U12)</f>
        <v>24822000</v>
      </c>
      <c r="W12" s="136">
        <f>SUM(W13:W14)</f>
        <v>8274000</v>
      </c>
      <c r="X12" s="189">
        <f>SUM(X13:X14)</f>
        <v>3500000</v>
      </c>
      <c r="Y12" s="137">
        <f aca="true" t="shared" si="8" ref="Y12:Y17">SUM(W12:X12)</f>
        <v>11774000</v>
      </c>
      <c r="Z12" s="136">
        <f>SUM(Z13:Z14)</f>
        <v>8274000</v>
      </c>
      <c r="AA12" s="189">
        <f>SUM(AA13:AA14)</f>
        <v>0</v>
      </c>
      <c r="AB12" s="137">
        <f aca="true" t="shared" si="9" ref="AB12:AB17">SUM(Z12:AA12)</f>
        <v>8274000</v>
      </c>
      <c r="AC12" s="136">
        <f>SUM(AC13:AC14)</f>
        <v>8274000</v>
      </c>
      <c r="AD12" s="189">
        <f>SUM(AD13:AD14)</f>
        <v>0</v>
      </c>
      <c r="AE12" s="137">
        <f aca="true" t="shared" si="10" ref="AE12:AE17">SUM(AC12:AD12)</f>
        <v>8274000</v>
      </c>
      <c r="AF12" s="210">
        <f aca="true" t="shared" si="11" ref="AF12:AF17">SUM(Y12,AB12,AE12)</f>
        <v>28322000</v>
      </c>
      <c r="AG12" s="136">
        <f>SUM(AG13:AG14)</f>
        <v>8274000</v>
      </c>
      <c r="AH12" s="189">
        <f>SUM(AH13:AH14)</f>
        <v>0</v>
      </c>
      <c r="AI12" s="137">
        <f aca="true" t="shared" si="12" ref="AI12:AI17">SUM(AG12:AH12)</f>
        <v>8274000</v>
      </c>
      <c r="AJ12" s="136">
        <f>SUM(AJ13:AJ14)</f>
        <v>8274000</v>
      </c>
      <c r="AK12" s="189">
        <f>SUM(AK13:AK14)</f>
        <v>0</v>
      </c>
      <c r="AL12" s="137">
        <f aca="true" t="shared" si="13" ref="AL12:AL17">SUM(AJ12:AK12)</f>
        <v>8274000</v>
      </c>
      <c r="AM12" s="136">
        <f>SUM(AM13:AM14)</f>
        <v>8274000</v>
      </c>
      <c r="AN12" s="189">
        <f>SUM(AN13:AN14)</f>
        <v>7500000</v>
      </c>
      <c r="AO12" s="137">
        <f aca="true" t="shared" si="14" ref="AO12:AO17">SUM(AM12:AN12)</f>
        <v>15774000</v>
      </c>
      <c r="AP12" s="210">
        <f aca="true" t="shared" si="15" ref="AP12:AP17">SUM(AI12,AL12,AO12)</f>
        <v>32322000</v>
      </c>
      <c r="AQ12" s="138">
        <f>C12+F12+I12+M12+P12+S12+W12+Z12+AC12+AG12+AJ12+AM12</f>
        <v>102399000</v>
      </c>
      <c r="AR12" s="138">
        <f>D12+G12+J12+N12+Q12+T12+X12+AA12+AD12+AH12+AK12+AN12</f>
        <v>11000000</v>
      </c>
      <c r="AS12" s="138">
        <f>SUM(AQ12:AR12)</f>
        <v>113399000</v>
      </c>
    </row>
    <row r="13" spans="1:45" ht="25.5" customHeight="1">
      <c r="A13" s="11" t="s">
        <v>361</v>
      </c>
      <c r="B13" s="139" t="s">
        <v>362</v>
      </c>
      <c r="C13" s="461">
        <v>1595000</v>
      </c>
      <c r="D13" s="190"/>
      <c r="E13" s="191">
        <f t="shared" si="0"/>
        <v>1595000</v>
      </c>
      <c r="F13" s="461">
        <v>1595000</v>
      </c>
      <c r="G13" s="190"/>
      <c r="H13" s="191">
        <f t="shared" si="1"/>
        <v>1595000</v>
      </c>
      <c r="I13" s="461">
        <v>1595000</v>
      </c>
      <c r="J13" s="190"/>
      <c r="K13" s="191">
        <f t="shared" si="2"/>
        <v>1595000</v>
      </c>
      <c r="L13" s="211">
        <f t="shared" si="3"/>
        <v>4785000</v>
      </c>
      <c r="M13" s="461">
        <v>1595000</v>
      </c>
      <c r="N13" s="190"/>
      <c r="O13" s="191">
        <f t="shared" si="4"/>
        <v>1595000</v>
      </c>
      <c r="P13" s="461">
        <v>1595000</v>
      </c>
      <c r="Q13" s="190"/>
      <c r="R13" s="191">
        <f t="shared" si="5"/>
        <v>1595000</v>
      </c>
      <c r="S13" s="461">
        <v>1595000</v>
      </c>
      <c r="T13" s="190"/>
      <c r="U13" s="191">
        <f t="shared" si="6"/>
        <v>1595000</v>
      </c>
      <c r="V13" s="211">
        <f t="shared" si="7"/>
        <v>4785000</v>
      </c>
      <c r="W13" s="461">
        <v>1595000</v>
      </c>
      <c r="X13" s="468"/>
      <c r="Y13" s="191">
        <f t="shared" si="8"/>
        <v>1595000</v>
      </c>
      <c r="Z13" s="461">
        <v>1595000</v>
      </c>
      <c r="AA13" s="468"/>
      <c r="AB13" s="191">
        <f t="shared" si="9"/>
        <v>1595000</v>
      </c>
      <c r="AC13" s="461">
        <v>1595000</v>
      </c>
      <c r="AD13" s="190"/>
      <c r="AE13" s="191">
        <f t="shared" si="10"/>
        <v>1595000</v>
      </c>
      <c r="AF13" s="211">
        <f t="shared" si="11"/>
        <v>4785000</v>
      </c>
      <c r="AG13" s="461">
        <v>1595000</v>
      </c>
      <c r="AH13" s="190"/>
      <c r="AI13" s="191">
        <f t="shared" si="12"/>
        <v>1595000</v>
      </c>
      <c r="AJ13" s="461">
        <v>1595000</v>
      </c>
      <c r="AK13" s="190"/>
      <c r="AL13" s="191">
        <f t="shared" si="13"/>
        <v>1595000</v>
      </c>
      <c r="AM13" s="461">
        <v>1595000</v>
      </c>
      <c r="AN13" s="468"/>
      <c r="AO13" s="191">
        <f t="shared" si="14"/>
        <v>1595000</v>
      </c>
      <c r="AP13" s="211">
        <f t="shared" si="15"/>
        <v>4785000</v>
      </c>
      <c r="AQ13" s="15">
        <f aca="true" t="shared" si="16" ref="AQ13:AR17">C13+F13+I13+M13+P13+S13+W13+Z13+AC13+AG13+AJ13+AM13</f>
        <v>19140000</v>
      </c>
      <c r="AR13" s="15">
        <f t="shared" si="16"/>
        <v>0</v>
      </c>
      <c r="AS13" s="15">
        <f aca="true" t="shared" si="17" ref="AS13:AS83">SUM(AQ13:AR13)</f>
        <v>19140000</v>
      </c>
    </row>
    <row r="14" spans="1:45" ht="25.5" customHeight="1">
      <c r="A14" s="11" t="s">
        <v>363</v>
      </c>
      <c r="B14" s="139" t="s">
        <v>364</v>
      </c>
      <c r="C14" s="461">
        <v>7716000</v>
      </c>
      <c r="D14" s="190"/>
      <c r="E14" s="191">
        <f t="shared" si="0"/>
        <v>7716000</v>
      </c>
      <c r="F14" s="461">
        <v>7716000</v>
      </c>
      <c r="G14" s="190"/>
      <c r="H14" s="191">
        <f t="shared" si="1"/>
        <v>7716000</v>
      </c>
      <c r="I14" s="461">
        <v>7716000</v>
      </c>
      <c r="J14" s="190"/>
      <c r="K14" s="191">
        <f t="shared" si="2"/>
        <v>7716000</v>
      </c>
      <c r="L14" s="211">
        <f t="shared" si="3"/>
        <v>23148000</v>
      </c>
      <c r="M14" s="461">
        <v>6679000</v>
      </c>
      <c r="N14" s="190"/>
      <c r="O14" s="191">
        <f t="shared" si="4"/>
        <v>6679000</v>
      </c>
      <c r="P14" s="461">
        <v>6679000</v>
      </c>
      <c r="Q14" s="190"/>
      <c r="R14" s="191">
        <f t="shared" si="5"/>
        <v>6679000</v>
      </c>
      <c r="S14" s="461">
        <v>6679000</v>
      </c>
      <c r="T14" s="190"/>
      <c r="U14" s="191">
        <f t="shared" si="6"/>
        <v>6679000</v>
      </c>
      <c r="V14" s="211">
        <f t="shared" si="7"/>
        <v>20037000</v>
      </c>
      <c r="W14" s="461">
        <v>6679000</v>
      </c>
      <c r="X14" s="468">
        <v>3500000</v>
      </c>
      <c r="Y14" s="191">
        <f t="shared" si="8"/>
        <v>10179000</v>
      </c>
      <c r="Z14" s="461">
        <v>6679000</v>
      </c>
      <c r="AA14" s="468"/>
      <c r="AB14" s="191">
        <f t="shared" si="9"/>
        <v>6679000</v>
      </c>
      <c r="AC14" s="461">
        <v>6679000</v>
      </c>
      <c r="AD14" s="190"/>
      <c r="AE14" s="191">
        <f t="shared" si="10"/>
        <v>6679000</v>
      </c>
      <c r="AF14" s="211">
        <f t="shared" si="11"/>
        <v>23537000</v>
      </c>
      <c r="AG14" s="461">
        <v>6679000</v>
      </c>
      <c r="AH14" s="190"/>
      <c r="AI14" s="191">
        <f t="shared" si="12"/>
        <v>6679000</v>
      </c>
      <c r="AJ14" s="461">
        <v>6679000</v>
      </c>
      <c r="AK14" s="190"/>
      <c r="AL14" s="191">
        <f t="shared" si="13"/>
        <v>6679000</v>
      </c>
      <c r="AM14" s="461">
        <v>6679000</v>
      </c>
      <c r="AN14" s="468">
        <v>7500000</v>
      </c>
      <c r="AO14" s="191">
        <f t="shared" si="14"/>
        <v>14179000</v>
      </c>
      <c r="AP14" s="211">
        <f t="shared" si="15"/>
        <v>27537000</v>
      </c>
      <c r="AQ14" s="15">
        <f t="shared" si="16"/>
        <v>83259000</v>
      </c>
      <c r="AR14" s="15">
        <f t="shared" si="16"/>
        <v>11000000</v>
      </c>
      <c r="AS14" s="15">
        <f t="shared" si="17"/>
        <v>94259000</v>
      </c>
    </row>
    <row r="15" spans="1:45" ht="26.25">
      <c r="A15" s="11" t="s">
        <v>365</v>
      </c>
      <c r="B15" s="140" t="s">
        <v>366</v>
      </c>
      <c r="C15" s="192"/>
      <c r="D15" s="193"/>
      <c r="E15" s="194">
        <f t="shared" si="0"/>
        <v>0</v>
      </c>
      <c r="F15" s="192"/>
      <c r="G15" s="193"/>
      <c r="H15" s="194">
        <f t="shared" si="1"/>
        <v>0</v>
      </c>
      <c r="I15" s="462"/>
      <c r="J15" s="193"/>
      <c r="K15" s="194">
        <f t="shared" si="2"/>
        <v>0</v>
      </c>
      <c r="L15" s="212">
        <f t="shared" si="3"/>
        <v>0</v>
      </c>
      <c r="M15" s="462">
        <v>2074000</v>
      </c>
      <c r="N15" s="193"/>
      <c r="O15" s="194">
        <f t="shared" si="4"/>
        <v>2074000</v>
      </c>
      <c r="P15" s="462">
        <v>1037000</v>
      </c>
      <c r="Q15" s="193"/>
      <c r="R15" s="194">
        <f t="shared" si="5"/>
        <v>1037000</v>
      </c>
      <c r="S15" s="462">
        <v>1037000</v>
      </c>
      <c r="T15" s="193"/>
      <c r="U15" s="194">
        <f t="shared" si="6"/>
        <v>1037000</v>
      </c>
      <c r="V15" s="212">
        <f t="shared" si="7"/>
        <v>4148000</v>
      </c>
      <c r="W15" s="462">
        <v>1037000</v>
      </c>
      <c r="X15" s="463"/>
      <c r="Y15" s="194">
        <f t="shared" si="8"/>
        <v>1037000</v>
      </c>
      <c r="Z15" s="462">
        <v>1037000</v>
      </c>
      <c r="AA15" s="463"/>
      <c r="AB15" s="194">
        <f t="shared" si="9"/>
        <v>1037000</v>
      </c>
      <c r="AC15" s="462">
        <v>1037000</v>
      </c>
      <c r="AD15" s="193"/>
      <c r="AE15" s="194">
        <f t="shared" si="10"/>
        <v>1037000</v>
      </c>
      <c r="AF15" s="212">
        <f t="shared" si="11"/>
        <v>3111000</v>
      </c>
      <c r="AG15" s="462">
        <v>1037000</v>
      </c>
      <c r="AH15" s="193"/>
      <c r="AI15" s="194">
        <f t="shared" si="12"/>
        <v>1037000</v>
      </c>
      <c r="AJ15" s="462">
        <v>1037000</v>
      </c>
      <c r="AK15" s="193"/>
      <c r="AL15" s="194">
        <f t="shared" si="13"/>
        <v>1037000</v>
      </c>
      <c r="AM15" s="462">
        <v>1037000</v>
      </c>
      <c r="AN15" s="463"/>
      <c r="AO15" s="194">
        <f t="shared" si="14"/>
        <v>1037000</v>
      </c>
      <c r="AP15" s="212">
        <f t="shared" si="15"/>
        <v>3111000</v>
      </c>
      <c r="AQ15" s="146">
        <f t="shared" si="16"/>
        <v>10370000</v>
      </c>
      <c r="AR15" s="146">
        <f t="shared" si="16"/>
        <v>0</v>
      </c>
      <c r="AS15" s="146">
        <f t="shared" si="17"/>
        <v>10370000</v>
      </c>
    </row>
    <row r="16" spans="1:45" ht="26.25">
      <c r="A16" s="11" t="s">
        <v>367</v>
      </c>
      <c r="B16" s="141" t="s">
        <v>368</v>
      </c>
      <c r="C16" s="195"/>
      <c r="D16" s="196"/>
      <c r="E16" s="197">
        <f t="shared" si="0"/>
        <v>0</v>
      </c>
      <c r="F16" s="195"/>
      <c r="G16" s="196"/>
      <c r="H16" s="197">
        <f t="shared" si="1"/>
        <v>0</v>
      </c>
      <c r="I16" s="464"/>
      <c r="J16" s="196"/>
      <c r="K16" s="197">
        <f t="shared" si="2"/>
        <v>0</v>
      </c>
      <c r="L16" s="213">
        <f t="shared" si="3"/>
        <v>0</v>
      </c>
      <c r="M16" s="464"/>
      <c r="N16" s="196"/>
      <c r="O16" s="197">
        <f t="shared" si="4"/>
        <v>0</v>
      </c>
      <c r="P16" s="464"/>
      <c r="Q16" s="196"/>
      <c r="R16" s="197">
        <f t="shared" si="5"/>
        <v>0</v>
      </c>
      <c r="S16" s="195"/>
      <c r="T16" s="196"/>
      <c r="U16" s="197">
        <f t="shared" si="6"/>
        <v>0</v>
      </c>
      <c r="V16" s="213">
        <f t="shared" si="7"/>
        <v>0</v>
      </c>
      <c r="W16" s="464"/>
      <c r="X16" s="465"/>
      <c r="Y16" s="197">
        <f t="shared" si="8"/>
        <v>0</v>
      </c>
      <c r="Z16" s="464"/>
      <c r="AA16" s="465"/>
      <c r="AB16" s="197">
        <f t="shared" si="9"/>
        <v>0</v>
      </c>
      <c r="AC16" s="464"/>
      <c r="AD16" s="196"/>
      <c r="AE16" s="197">
        <f t="shared" si="10"/>
        <v>0</v>
      </c>
      <c r="AF16" s="213">
        <f t="shared" si="11"/>
        <v>0</v>
      </c>
      <c r="AG16" s="464"/>
      <c r="AH16" s="196"/>
      <c r="AI16" s="197">
        <f t="shared" si="12"/>
        <v>0</v>
      </c>
      <c r="AJ16" s="195"/>
      <c r="AK16" s="196"/>
      <c r="AL16" s="197">
        <f t="shared" si="13"/>
        <v>0</v>
      </c>
      <c r="AM16" s="464"/>
      <c r="AN16" s="465"/>
      <c r="AO16" s="197">
        <f t="shared" si="14"/>
        <v>0</v>
      </c>
      <c r="AP16" s="213">
        <f t="shared" si="15"/>
        <v>0</v>
      </c>
      <c r="AQ16" s="144">
        <f t="shared" si="16"/>
        <v>0</v>
      </c>
      <c r="AR16" s="144">
        <f t="shared" si="16"/>
        <v>0</v>
      </c>
      <c r="AS16" s="144">
        <f t="shared" si="17"/>
        <v>0</v>
      </c>
    </row>
    <row r="17" spans="1:45" ht="26.25">
      <c r="A17" s="11" t="s">
        <v>369</v>
      </c>
      <c r="B17" s="47" t="s">
        <v>370</v>
      </c>
      <c r="C17" s="198"/>
      <c r="D17" s="199"/>
      <c r="E17" s="200">
        <f t="shared" si="0"/>
        <v>0</v>
      </c>
      <c r="F17" s="198"/>
      <c r="G17" s="199"/>
      <c r="H17" s="200">
        <f t="shared" si="1"/>
        <v>0</v>
      </c>
      <c r="I17" s="467"/>
      <c r="J17" s="199"/>
      <c r="K17" s="200">
        <f t="shared" si="2"/>
        <v>0</v>
      </c>
      <c r="L17" s="211">
        <f t="shared" si="3"/>
        <v>0</v>
      </c>
      <c r="M17" s="467"/>
      <c r="N17" s="199"/>
      <c r="O17" s="200">
        <f t="shared" si="4"/>
        <v>0</v>
      </c>
      <c r="P17" s="467"/>
      <c r="Q17" s="199"/>
      <c r="R17" s="200">
        <f t="shared" si="5"/>
        <v>0</v>
      </c>
      <c r="S17" s="198"/>
      <c r="T17" s="199"/>
      <c r="U17" s="200">
        <f t="shared" si="6"/>
        <v>0</v>
      </c>
      <c r="V17" s="211">
        <f t="shared" si="7"/>
        <v>0</v>
      </c>
      <c r="W17" s="467"/>
      <c r="X17" s="469"/>
      <c r="Y17" s="200">
        <f t="shared" si="8"/>
        <v>0</v>
      </c>
      <c r="Z17" s="467"/>
      <c r="AA17" s="469"/>
      <c r="AB17" s="200">
        <f t="shared" si="9"/>
        <v>0</v>
      </c>
      <c r="AC17" s="467"/>
      <c r="AD17" s="199"/>
      <c r="AE17" s="200">
        <f t="shared" si="10"/>
        <v>0</v>
      </c>
      <c r="AF17" s="211">
        <f t="shared" si="11"/>
        <v>0</v>
      </c>
      <c r="AG17" s="467"/>
      <c r="AH17" s="199"/>
      <c r="AI17" s="200">
        <f t="shared" si="12"/>
        <v>0</v>
      </c>
      <c r="AJ17" s="198"/>
      <c r="AK17" s="199"/>
      <c r="AL17" s="200">
        <f t="shared" si="13"/>
        <v>0</v>
      </c>
      <c r="AM17" s="467"/>
      <c r="AN17" s="469"/>
      <c r="AO17" s="200">
        <f t="shared" si="14"/>
        <v>0</v>
      </c>
      <c r="AP17" s="211">
        <f t="shared" si="15"/>
        <v>0</v>
      </c>
      <c r="AQ17" s="15">
        <f t="shared" si="16"/>
        <v>0</v>
      </c>
      <c r="AR17" s="15">
        <f t="shared" si="16"/>
        <v>0</v>
      </c>
      <c r="AS17" s="15">
        <f t="shared" si="17"/>
        <v>0</v>
      </c>
    </row>
    <row r="18" spans="2:45" ht="26.25">
      <c r="B18" s="147" t="s">
        <v>371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9"/>
    </row>
    <row r="19" spans="1:45" ht="26.25">
      <c r="A19" s="11" t="s">
        <v>372</v>
      </c>
      <c r="B19" s="153" t="s">
        <v>373</v>
      </c>
      <c r="C19" s="462">
        <v>18959647</v>
      </c>
      <c r="D19" s="193"/>
      <c r="E19" s="194">
        <f>SUM(C19:D19)</f>
        <v>18959647</v>
      </c>
      <c r="F19" s="462">
        <v>18959646</v>
      </c>
      <c r="G19" s="463">
        <v>110000</v>
      </c>
      <c r="H19" s="194">
        <f>SUM(F19:G19)</f>
        <v>19069646</v>
      </c>
      <c r="I19" s="462">
        <v>14884630</v>
      </c>
      <c r="J19" s="193"/>
      <c r="K19" s="194">
        <f>SUM(I19:J19)</f>
        <v>14884630</v>
      </c>
      <c r="L19" s="212">
        <f>SUM(E19,H19,K19)</f>
        <v>52913923</v>
      </c>
      <c r="M19" s="462">
        <v>22000000</v>
      </c>
      <c r="N19" s="193"/>
      <c r="O19" s="194">
        <f>SUM(M19:N19)</f>
        <v>22000000</v>
      </c>
      <c r="P19" s="462">
        <v>19500000</v>
      </c>
      <c r="Q19" s="193">
        <v>3000000</v>
      </c>
      <c r="R19" s="194">
        <f>SUM(P19:Q19)</f>
        <v>22500000</v>
      </c>
      <c r="S19" s="462">
        <v>19000000</v>
      </c>
      <c r="T19" s="193"/>
      <c r="U19" s="194">
        <f>SUM(S19:T19)</f>
        <v>19000000</v>
      </c>
      <c r="V19" s="212">
        <f>SUM(O19,R19,U19)</f>
        <v>63500000</v>
      </c>
      <c r="W19" s="462">
        <v>19500000</v>
      </c>
      <c r="X19" s="193">
        <v>3000000</v>
      </c>
      <c r="Y19" s="194">
        <f>SUM(W19:X19)</f>
        <v>22500000</v>
      </c>
      <c r="Z19" s="462">
        <v>19000000</v>
      </c>
      <c r="AA19" s="463"/>
      <c r="AB19" s="194">
        <f>SUM(Z19:AA19)</f>
        <v>19000000</v>
      </c>
      <c r="AC19" s="462">
        <v>19000000</v>
      </c>
      <c r="AD19" s="193"/>
      <c r="AE19" s="194">
        <f>SUM(AC19:AD19)</f>
        <v>19000000</v>
      </c>
      <c r="AF19" s="212">
        <f>SUM(Y19,AB19,AE19)</f>
        <v>60500000</v>
      </c>
      <c r="AG19" s="462">
        <v>19000000</v>
      </c>
      <c r="AH19" s="193"/>
      <c r="AI19" s="194">
        <f>SUM(AG19:AH19)</f>
        <v>19000000</v>
      </c>
      <c r="AJ19" s="462">
        <v>19000000</v>
      </c>
      <c r="AK19" s="193"/>
      <c r="AL19" s="194">
        <f>SUM(AJ19:AK19)</f>
        <v>19000000</v>
      </c>
      <c r="AM19" s="462">
        <v>19000000</v>
      </c>
      <c r="AN19" s="463">
        <v>12000000</v>
      </c>
      <c r="AO19" s="194">
        <f>SUM(AM19:AN19)</f>
        <v>31000000</v>
      </c>
      <c r="AP19" s="212">
        <f>SUM(AI19,AL19,AO19)</f>
        <v>69000000</v>
      </c>
      <c r="AQ19" s="146">
        <f aca="true" t="shared" si="18" ref="AQ19:AR24">C19+F19+I19+M19+P19+S19+W19+Z19+AC19+AG19+AJ19+AM19</f>
        <v>227803923</v>
      </c>
      <c r="AR19" s="146">
        <f t="shared" si="18"/>
        <v>18110000</v>
      </c>
      <c r="AS19" s="146">
        <f t="shared" si="17"/>
        <v>245913923</v>
      </c>
    </row>
    <row r="20" spans="1:45" ht="26.25">
      <c r="A20" s="11" t="s">
        <v>374</v>
      </c>
      <c r="B20" s="154" t="s">
        <v>375</v>
      </c>
      <c r="C20" s="195"/>
      <c r="D20" s="196"/>
      <c r="E20" s="197">
        <f>SUM(C20:D20)</f>
        <v>0</v>
      </c>
      <c r="F20" s="195"/>
      <c r="G20" s="196"/>
      <c r="H20" s="197">
        <f>SUM(F20:G20)</f>
        <v>0</v>
      </c>
      <c r="I20" s="195"/>
      <c r="J20" s="196"/>
      <c r="K20" s="197">
        <f>SUM(I20:J20)</f>
        <v>0</v>
      </c>
      <c r="L20" s="213">
        <f aca="true" t="shared" si="19" ref="L20:L29">SUM(E20,H20,K20)</f>
        <v>0</v>
      </c>
      <c r="M20" s="195"/>
      <c r="N20" s="196"/>
      <c r="O20" s="197">
        <f>SUM(M20:N20)</f>
        <v>0</v>
      </c>
      <c r="P20" s="195"/>
      <c r="Q20" s="196"/>
      <c r="R20" s="197">
        <f>SUM(P20:Q20)</f>
        <v>0</v>
      </c>
      <c r="S20" s="195"/>
      <c r="T20" s="196"/>
      <c r="U20" s="197">
        <f>SUM(S20:T20)</f>
        <v>0</v>
      </c>
      <c r="V20" s="213">
        <f aca="true" t="shared" si="20" ref="V20:V29">SUM(O20,R20,U20)</f>
        <v>0</v>
      </c>
      <c r="W20" s="195"/>
      <c r="X20" s="196"/>
      <c r="Y20" s="197">
        <f>SUM(W20:X20)</f>
        <v>0</v>
      </c>
      <c r="Z20" s="195"/>
      <c r="AA20" s="196"/>
      <c r="AB20" s="197">
        <f>SUM(Z20:AA20)</f>
        <v>0</v>
      </c>
      <c r="AC20" s="195"/>
      <c r="AD20" s="196"/>
      <c r="AE20" s="197">
        <f>SUM(AC20:AD20)</f>
        <v>0</v>
      </c>
      <c r="AF20" s="213">
        <f aca="true" t="shared" si="21" ref="AF20:AF29">SUM(Y20,AB20,AE20)</f>
        <v>0</v>
      </c>
      <c r="AG20" s="195"/>
      <c r="AH20" s="196"/>
      <c r="AI20" s="197">
        <f>SUM(AG20:AH20)</f>
        <v>0</v>
      </c>
      <c r="AJ20" s="195"/>
      <c r="AK20" s="196"/>
      <c r="AL20" s="197">
        <f>SUM(AJ20:AK20)</f>
        <v>0</v>
      </c>
      <c r="AM20" s="195"/>
      <c r="AN20" s="196"/>
      <c r="AO20" s="197">
        <f>SUM(AM20:AN20)</f>
        <v>0</v>
      </c>
      <c r="AP20" s="213">
        <f aca="true" t="shared" si="22" ref="AP20:AP29">SUM(AI20,AL20,AO20)</f>
        <v>0</v>
      </c>
      <c r="AQ20" s="144">
        <f t="shared" si="18"/>
        <v>0</v>
      </c>
      <c r="AR20" s="144">
        <f t="shared" si="18"/>
        <v>0</v>
      </c>
      <c r="AS20" s="144">
        <f t="shared" si="17"/>
        <v>0</v>
      </c>
    </row>
    <row r="21" spans="2:45" ht="26.25">
      <c r="B21" s="147" t="s">
        <v>376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9"/>
    </row>
    <row r="22" spans="1:45" ht="26.25">
      <c r="A22" s="11" t="s">
        <v>377</v>
      </c>
      <c r="B22" s="153" t="s">
        <v>378</v>
      </c>
      <c r="C22" s="192"/>
      <c r="D22" s="193"/>
      <c r="E22" s="194">
        <f>SUM(C22:D22)</f>
        <v>0</v>
      </c>
      <c r="F22" s="192"/>
      <c r="G22" s="193"/>
      <c r="H22" s="194">
        <f>SUM(F22:G22)</f>
        <v>0</v>
      </c>
      <c r="I22" s="192"/>
      <c r="J22" s="193"/>
      <c r="K22" s="194">
        <f>SUM(I22:J22)</f>
        <v>0</v>
      </c>
      <c r="L22" s="212">
        <f t="shared" si="19"/>
        <v>0</v>
      </c>
      <c r="M22" s="192"/>
      <c r="N22" s="193"/>
      <c r="O22" s="194">
        <f>SUM(M22:N22)</f>
        <v>0</v>
      </c>
      <c r="P22" s="192"/>
      <c r="Q22" s="193"/>
      <c r="R22" s="194">
        <f>SUM(P22:Q22)</f>
        <v>0</v>
      </c>
      <c r="S22" s="192"/>
      <c r="T22" s="193"/>
      <c r="U22" s="194">
        <f>SUM(S22:T22)</f>
        <v>0</v>
      </c>
      <c r="V22" s="212">
        <f t="shared" si="20"/>
        <v>0</v>
      </c>
      <c r="W22" s="192"/>
      <c r="X22" s="193"/>
      <c r="Y22" s="194">
        <f>SUM(W22:X22)</f>
        <v>0</v>
      </c>
      <c r="Z22" s="192"/>
      <c r="AA22" s="193"/>
      <c r="AB22" s="194">
        <f>SUM(Z22:AA22)</f>
        <v>0</v>
      </c>
      <c r="AC22" s="192"/>
      <c r="AD22" s="193"/>
      <c r="AE22" s="194">
        <f>SUM(AC22:AD22)</f>
        <v>0</v>
      </c>
      <c r="AF22" s="212">
        <f t="shared" si="21"/>
        <v>0</v>
      </c>
      <c r="AG22" s="192"/>
      <c r="AH22" s="193"/>
      <c r="AI22" s="194">
        <f>SUM(AG22:AH22)</f>
        <v>0</v>
      </c>
      <c r="AJ22" s="192"/>
      <c r="AK22" s="193"/>
      <c r="AL22" s="194">
        <f>SUM(AJ22:AK22)</f>
        <v>0</v>
      </c>
      <c r="AM22" s="192"/>
      <c r="AN22" s="193"/>
      <c r="AO22" s="194">
        <f>SUM(AM22:AN22)</f>
        <v>0</v>
      </c>
      <c r="AP22" s="212">
        <f t="shared" si="22"/>
        <v>0</v>
      </c>
      <c r="AQ22" s="146">
        <f t="shared" si="18"/>
        <v>0</v>
      </c>
      <c r="AR22" s="146">
        <f t="shared" si="18"/>
        <v>0</v>
      </c>
      <c r="AS22" s="146">
        <f t="shared" si="17"/>
        <v>0</v>
      </c>
    </row>
    <row r="23" spans="1:45" ht="26.25">
      <c r="A23" s="11" t="s">
        <v>379</v>
      </c>
      <c r="B23" s="153" t="s">
        <v>380</v>
      </c>
      <c r="C23" s="192"/>
      <c r="D23" s="193"/>
      <c r="E23" s="194">
        <f>SUM(C23:D23)</f>
        <v>0</v>
      </c>
      <c r="F23" s="192"/>
      <c r="G23" s="193"/>
      <c r="H23" s="194">
        <f>SUM(F23:G23)</f>
        <v>0</v>
      </c>
      <c r="I23" s="192"/>
      <c r="J23" s="193"/>
      <c r="K23" s="194">
        <f>SUM(I23:J23)</f>
        <v>0</v>
      </c>
      <c r="L23" s="212">
        <f>SUM(E23,H23,K23)</f>
        <v>0</v>
      </c>
      <c r="M23" s="192"/>
      <c r="N23" s="193"/>
      <c r="O23" s="194">
        <f>SUM(M23:N23)</f>
        <v>0</v>
      </c>
      <c r="P23" s="192"/>
      <c r="Q23" s="193"/>
      <c r="R23" s="194">
        <f>SUM(P23:Q23)</f>
        <v>0</v>
      </c>
      <c r="S23" s="192"/>
      <c r="T23" s="193"/>
      <c r="U23" s="194">
        <f>SUM(S23:T23)</f>
        <v>0</v>
      </c>
      <c r="V23" s="212">
        <f>SUM(O23,R23,U23)</f>
        <v>0</v>
      </c>
      <c r="W23" s="192"/>
      <c r="X23" s="193"/>
      <c r="Y23" s="194">
        <f>SUM(W23:X23)</f>
        <v>0</v>
      </c>
      <c r="Z23" s="192"/>
      <c r="AA23" s="193"/>
      <c r="AB23" s="194">
        <f>SUM(Z23:AA23)</f>
        <v>0</v>
      </c>
      <c r="AC23" s="192"/>
      <c r="AD23" s="193"/>
      <c r="AE23" s="194">
        <f>SUM(AC23:AD23)</f>
        <v>0</v>
      </c>
      <c r="AF23" s="212">
        <f>SUM(Y23,AB23,AE23)</f>
        <v>0</v>
      </c>
      <c r="AG23" s="192"/>
      <c r="AH23" s="193"/>
      <c r="AI23" s="194">
        <f>SUM(AG23:AH23)</f>
        <v>0</v>
      </c>
      <c r="AJ23" s="192"/>
      <c r="AK23" s="193"/>
      <c r="AL23" s="194">
        <f>SUM(AJ23:AK23)</f>
        <v>0</v>
      </c>
      <c r="AM23" s="192"/>
      <c r="AN23" s="193"/>
      <c r="AO23" s="194">
        <f>SUM(AM23:AN23)</f>
        <v>0</v>
      </c>
      <c r="AP23" s="212">
        <f>SUM(AI23,AL23,AO23)</f>
        <v>0</v>
      </c>
      <c r="AQ23" s="146">
        <f>C23+F23+I23+M23+P23+S23+W23+Z23+AC23+AG23+AJ23+AM23</f>
        <v>0</v>
      </c>
      <c r="AR23" s="146">
        <f>D23+G23+J23+N23+Q23+T23+X23+AA23+AD23+AH23+AK23+AN23</f>
        <v>0</v>
      </c>
      <c r="AS23" s="146">
        <f>SUM(AQ23:AR23)</f>
        <v>0</v>
      </c>
    </row>
    <row r="24" spans="1:45" ht="26.25">
      <c r="A24" s="11" t="s">
        <v>381</v>
      </c>
      <c r="B24" s="154" t="s">
        <v>382</v>
      </c>
      <c r="C24" s="195"/>
      <c r="D24" s="196"/>
      <c r="E24" s="197">
        <f>SUM(C24:D24)</f>
        <v>0</v>
      </c>
      <c r="F24" s="195"/>
      <c r="G24" s="196"/>
      <c r="H24" s="197">
        <f>SUM(F24:G24)</f>
        <v>0</v>
      </c>
      <c r="I24" s="195"/>
      <c r="J24" s="196"/>
      <c r="K24" s="197">
        <f>SUM(I24:J24)</f>
        <v>0</v>
      </c>
      <c r="L24" s="213">
        <f t="shared" si="19"/>
        <v>0</v>
      </c>
      <c r="M24" s="195"/>
      <c r="N24" s="196"/>
      <c r="O24" s="197">
        <f>SUM(M24:N24)</f>
        <v>0</v>
      </c>
      <c r="P24" s="195"/>
      <c r="Q24" s="196"/>
      <c r="R24" s="197">
        <f>SUM(P24:Q24)</f>
        <v>0</v>
      </c>
      <c r="S24" s="195"/>
      <c r="T24" s="196"/>
      <c r="U24" s="197">
        <f>SUM(S24:T24)</f>
        <v>0</v>
      </c>
      <c r="V24" s="213">
        <f t="shared" si="20"/>
        <v>0</v>
      </c>
      <c r="W24" s="195"/>
      <c r="X24" s="196"/>
      <c r="Y24" s="197">
        <f>SUM(W24:X24)</f>
        <v>0</v>
      </c>
      <c r="Z24" s="195"/>
      <c r="AA24" s="196"/>
      <c r="AB24" s="197">
        <f>SUM(Z24:AA24)</f>
        <v>0</v>
      </c>
      <c r="AC24" s="195"/>
      <c r="AD24" s="196"/>
      <c r="AE24" s="197">
        <f>SUM(AC24:AD24)</f>
        <v>0</v>
      </c>
      <c r="AF24" s="213">
        <f t="shared" si="21"/>
        <v>0</v>
      </c>
      <c r="AG24" s="195"/>
      <c r="AH24" s="196"/>
      <c r="AI24" s="197">
        <f>SUM(AG24:AH24)</f>
        <v>0</v>
      </c>
      <c r="AJ24" s="195"/>
      <c r="AK24" s="196"/>
      <c r="AL24" s="197">
        <f>SUM(AJ24:AK24)</f>
        <v>0</v>
      </c>
      <c r="AM24" s="195"/>
      <c r="AN24" s="196"/>
      <c r="AO24" s="197">
        <f>SUM(AM24:AN24)</f>
        <v>0</v>
      </c>
      <c r="AP24" s="213">
        <f t="shared" si="22"/>
        <v>0</v>
      </c>
      <c r="AQ24" s="144">
        <f t="shared" si="18"/>
        <v>0</v>
      </c>
      <c r="AR24" s="144">
        <f t="shared" si="18"/>
        <v>0</v>
      </c>
      <c r="AS24" s="144">
        <f t="shared" si="17"/>
        <v>0</v>
      </c>
    </row>
    <row r="25" spans="2:45" ht="26.25">
      <c r="B25" s="147" t="s">
        <v>383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</row>
    <row r="26" spans="1:45" ht="26.25">
      <c r="A26" s="11" t="s">
        <v>384</v>
      </c>
      <c r="B26" s="155" t="s">
        <v>385</v>
      </c>
      <c r="C26" s="192"/>
      <c r="D26" s="193"/>
      <c r="E26" s="194">
        <f>SUM(C26:D26)</f>
        <v>0</v>
      </c>
      <c r="F26" s="192"/>
      <c r="G26" s="463">
        <v>15831</v>
      </c>
      <c r="H26" s="194">
        <f>SUM(F26:G26)</f>
        <v>15831</v>
      </c>
      <c r="I26" s="462">
        <v>610002</v>
      </c>
      <c r="J26" s="463"/>
      <c r="K26" s="194">
        <f>SUM(I26:J26)</f>
        <v>610002</v>
      </c>
      <c r="L26" s="212">
        <f t="shared" si="19"/>
        <v>625833</v>
      </c>
      <c r="M26" s="192"/>
      <c r="N26" s="193"/>
      <c r="O26" s="194">
        <f>SUM(M26:N26)</f>
        <v>0</v>
      </c>
      <c r="P26" s="192"/>
      <c r="Q26" s="193"/>
      <c r="R26" s="194">
        <f>SUM(P26:Q26)</f>
        <v>0</v>
      </c>
      <c r="S26" s="192"/>
      <c r="T26" s="193"/>
      <c r="U26" s="194">
        <f>SUM(S26:T26)</f>
        <v>0</v>
      </c>
      <c r="V26" s="212">
        <f t="shared" si="20"/>
        <v>0</v>
      </c>
      <c r="W26" s="192"/>
      <c r="X26" s="193"/>
      <c r="Y26" s="194">
        <f>SUM(W26:X26)</f>
        <v>0</v>
      </c>
      <c r="Z26" s="192"/>
      <c r="AA26" s="193"/>
      <c r="AB26" s="194">
        <f>SUM(Z26:AA26)</f>
        <v>0</v>
      </c>
      <c r="AC26" s="462">
        <v>610002</v>
      </c>
      <c r="AD26" s="193"/>
      <c r="AE26" s="194">
        <f>SUM(AC26:AD26)</f>
        <v>610002</v>
      </c>
      <c r="AF26" s="212">
        <f t="shared" si="21"/>
        <v>610002</v>
      </c>
      <c r="AG26" s="192"/>
      <c r="AH26" s="193"/>
      <c r="AI26" s="194">
        <f>SUM(AG26:AH26)</f>
        <v>0</v>
      </c>
      <c r="AJ26" s="192"/>
      <c r="AK26" s="193"/>
      <c r="AL26" s="194">
        <f>SUM(AJ26:AK26)</f>
        <v>0</v>
      </c>
      <c r="AM26" s="192"/>
      <c r="AN26" s="193"/>
      <c r="AO26" s="194">
        <f>SUM(AM26:AN26)</f>
        <v>0</v>
      </c>
      <c r="AP26" s="212">
        <f t="shared" si="22"/>
        <v>0</v>
      </c>
      <c r="AQ26" s="146">
        <f aca="true" t="shared" si="23" ref="AQ26:AR36">C26+F26+I26+M26+P26+S26+W26+Z26+AC26+AG26+AJ26+AM26</f>
        <v>1220004</v>
      </c>
      <c r="AR26" s="146">
        <f t="shared" si="23"/>
        <v>15831</v>
      </c>
      <c r="AS26" s="146">
        <f t="shared" si="17"/>
        <v>1235835</v>
      </c>
    </row>
    <row r="27" spans="1:45" ht="26.25">
      <c r="A27" s="11" t="s">
        <v>386</v>
      </c>
      <c r="B27" s="155" t="s">
        <v>387</v>
      </c>
      <c r="C27" s="192"/>
      <c r="D27" s="193"/>
      <c r="E27" s="194">
        <f>SUM(C27:D27)</f>
        <v>0</v>
      </c>
      <c r="F27" s="192"/>
      <c r="G27" s="463"/>
      <c r="H27" s="194">
        <f>SUM(F27:G27)</f>
        <v>0</v>
      </c>
      <c r="I27" s="462"/>
      <c r="J27" s="463"/>
      <c r="K27" s="194">
        <f>SUM(I27:J27)</f>
        <v>0</v>
      </c>
      <c r="L27" s="212">
        <f t="shared" si="19"/>
        <v>0</v>
      </c>
      <c r="M27" s="192"/>
      <c r="N27" s="193"/>
      <c r="O27" s="194">
        <f>SUM(M27:N27)</f>
        <v>0</v>
      </c>
      <c r="P27" s="192"/>
      <c r="Q27" s="193"/>
      <c r="R27" s="194">
        <f>SUM(P27:Q27)</f>
        <v>0</v>
      </c>
      <c r="S27" s="192"/>
      <c r="T27" s="193"/>
      <c r="U27" s="194">
        <f>SUM(S27:T27)</f>
        <v>0</v>
      </c>
      <c r="V27" s="212">
        <f t="shared" si="20"/>
        <v>0</v>
      </c>
      <c r="W27" s="192"/>
      <c r="X27" s="193"/>
      <c r="Y27" s="194">
        <f>SUM(W27:X27)</f>
        <v>0</v>
      </c>
      <c r="Z27" s="192"/>
      <c r="AA27" s="193"/>
      <c r="AB27" s="194">
        <f>SUM(Z27:AA27)</f>
        <v>0</v>
      </c>
      <c r="AC27" s="192"/>
      <c r="AD27" s="193"/>
      <c r="AE27" s="194">
        <f>SUM(AC27:AD27)</f>
        <v>0</v>
      </c>
      <c r="AF27" s="212">
        <f t="shared" si="21"/>
        <v>0</v>
      </c>
      <c r="AG27" s="192"/>
      <c r="AH27" s="193"/>
      <c r="AI27" s="194">
        <f>SUM(AG27:AH27)</f>
        <v>0</v>
      </c>
      <c r="AJ27" s="192"/>
      <c r="AK27" s="193"/>
      <c r="AL27" s="194">
        <f>SUM(AJ27:AK27)</f>
        <v>0</v>
      </c>
      <c r="AM27" s="192"/>
      <c r="AN27" s="193"/>
      <c r="AO27" s="194">
        <f>SUM(AM27:AN27)</f>
        <v>0</v>
      </c>
      <c r="AP27" s="212">
        <f t="shared" si="22"/>
        <v>0</v>
      </c>
      <c r="AQ27" s="146">
        <f t="shared" si="23"/>
        <v>0</v>
      </c>
      <c r="AR27" s="146">
        <f t="shared" si="23"/>
        <v>0</v>
      </c>
      <c r="AS27" s="146">
        <f t="shared" si="17"/>
        <v>0</v>
      </c>
    </row>
    <row r="28" spans="1:45" ht="26.25">
      <c r="A28" s="11" t="s">
        <v>388</v>
      </c>
      <c r="B28" s="155" t="s">
        <v>389</v>
      </c>
      <c r="C28" s="192"/>
      <c r="D28" s="193"/>
      <c r="E28" s="194">
        <f>SUM(C28:D28)</f>
        <v>0</v>
      </c>
      <c r="F28" s="192"/>
      <c r="G28" s="463">
        <v>29671</v>
      </c>
      <c r="H28" s="194">
        <f>SUM(F28:G28)</f>
        <v>29671</v>
      </c>
      <c r="I28" s="462"/>
      <c r="J28" s="463">
        <f>390856+165145</f>
        <v>556001</v>
      </c>
      <c r="K28" s="194">
        <f>SUM(I28:J28)</f>
        <v>556001</v>
      </c>
      <c r="L28" s="212">
        <f t="shared" si="19"/>
        <v>585672</v>
      </c>
      <c r="M28" s="192"/>
      <c r="N28" s="193">
        <v>100000</v>
      </c>
      <c r="O28" s="194">
        <f>SUM(M28:N28)</f>
        <v>100000</v>
      </c>
      <c r="P28" s="192">
        <v>50000</v>
      </c>
      <c r="Q28" s="193">
        <v>100000</v>
      </c>
      <c r="R28" s="194">
        <f>SUM(P28:Q28)</f>
        <v>150000</v>
      </c>
      <c r="S28" s="192">
        <v>100000</v>
      </c>
      <c r="T28" s="193">
        <v>100000</v>
      </c>
      <c r="U28" s="194">
        <f>SUM(S28:T28)</f>
        <v>200000</v>
      </c>
      <c r="V28" s="212">
        <f t="shared" si="20"/>
        <v>450000</v>
      </c>
      <c r="W28" s="192"/>
      <c r="X28" s="193"/>
      <c r="Y28" s="194">
        <f>SUM(W28:X28)</f>
        <v>0</v>
      </c>
      <c r="Z28" s="192"/>
      <c r="AA28" s="193"/>
      <c r="AB28" s="194">
        <f>SUM(Z28:AA28)</f>
        <v>0</v>
      </c>
      <c r="AC28" s="192"/>
      <c r="AD28" s="193"/>
      <c r="AE28" s="194">
        <f>SUM(AC28:AD28)</f>
        <v>0</v>
      </c>
      <c r="AF28" s="212">
        <f t="shared" si="21"/>
        <v>0</v>
      </c>
      <c r="AG28" s="192"/>
      <c r="AH28" s="193"/>
      <c r="AI28" s="194">
        <f>SUM(AG28:AH28)</f>
        <v>0</v>
      </c>
      <c r="AJ28" s="192"/>
      <c r="AK28" s="193"/>
      <c r="AL28" s="194">
        <f>SUM(AJ28:AK28)</f>
        <v>0</v>
      </c>
      <c r="AM28" s="192"/>
      <c r="AN28" s="193"/>
      <c r="AO28" s="194">
        <f>SUM(AM28:AN28)</f>
        <v>0</v>
      </c>
      <c r="AP28" s="212">
        <f t="shared" si="22"/>
        <v>0</v>
      </c>
      <c r="AQ28" s="146">
        <f t="shared" si="23"/>
        <v>150000</v>
      </c>
      <c r="AR28" s="146">
        <f t="shared" si="23"/>
        <v>885672</v>
      </c>
      <c r="AS28" s="146">
        <f t="shared" si="17"/>
        <v>1035672</v>
      </c>
    </row>
    <row r="29" spans="1:45" ht="26.25">
      <c r="A29" s="11" t="s">
        <v>390</v>
      </c>
      <c r="B29" s="156" t="s">
        <v>391</v>
      </c>
      <c r="C29" s="195"/>
      <c r="D29" s="196"/>
      <c r="E29" s="197">
        <f>SUM(C29:D29)</f>
        <v>0</v>
      </c>
      <c r="F29" s="195"/>
      <c r="G29" s="465"/>
      <c r="H29" s="197">
        <f>SUM(F29:G29)</f>
        <v>0</v>
      </c>
      <c r="I29" s="464"/>
      <c r="J29" s="465"/>
      <c r="K29" s="197">
        <f>SUM(I29:J29)</f>
        <v>0</v>
      </c>
      <c r="L29" s="213">
        <f t="shared" si="19"/>
        <v>0</v>
      </c>
      <c r="M29" s="195"/>
      <c r="N29" s="196"/>
      <c r="O29" s="197">
        <f>SUM(M29:N29)</f>
        <v>0</v>
      </c>
      <c r="P29" s="195"/>
      <c r="Q29" s="196"/>
      <c r="R29" s="197">
        <f>SUM(P29:Q29)</f>
        <v>0</v>
      </c>
      <c r="S29" s="195"/>
      <c r="T29" s="196"/>
      <c r="U29" s="197">
        <f>SUM(S29:T29)</f>
        <v>0</v>
      </c>
      <c r="V29" s="213">
        <f t="shared" si="20"/>
        <v>0</v>
      </c>
      <c r="W29" s="195"/>
      <c r="X29" s="196"/>
      <c r="Y29" s="197">
        <f>SUM(W29:X29)</f>
        <v>0</v>
      </c>
      <c r="Z29" s="195"/>
      <c r="AA29" s="196"/>
      <c r="AB29" s="197">
        <f>SUM(Z29:AA29)</f>
        <v>0</v>
      </c>
      <c r="AC29" s="195"/>
      <c r="AD29" s="196"/>
      <c r="AE29" s="197">
        <f>SUM(AC29:AD29)</f>
        <v>0</v>
      </c>
      <c r="AF29" s="213">
        <f t="shared" si="21"/>
        <v>0</v>
      </c>
      <c r="AG29" s="195"/>
      <c r="AH29" s="196"/>
      <c r="AI29" s="197">
        <f>SUM(AG29:AH29)</f>
        <v>0</v>
      </c>
      <c r="AJ29" s="195"/>
      <c r="AK29" s="196"/>
      <c r="AL29" s="197">
        <f>SUM(AJ29:AK29)</f>
        <v>0</v>
      </c>
      <c r="AM29" s="195"/>
      <c r="AN29" s="196"/>
      <c r="AO29" s="197">
        <f>SUM(AM29:AN29)</f>
        <v>0</v>
      </c>
      <c r="AP29" s="213">
        <f t="shared" si="22"/>
        <v>0</v>
      </c>
      <c r="AQ29" s="144">
        <f t="shared" si="23"/>
        <v>0</v>
      </c>
      <c r="AR29" s="144">
        <f t="shared" si="23"/>
        <v>0</v>
      </c>
      <c r="AS29" s="144">
        <f t="shared" si="17"/>
        <v>0</v>
      </c>
    </row>
    <row r="30" spans="2:45" ht="26.25">
      <c r="B30" s="147" t="s">
        <v>392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9"/>
    </row>
    <row r="31" spans="1:45" ht="26.25">
      <c r="A31" s="11" t="s">
        <v>393</v>
      </c>
      <c r="B31" s="153" t="s">
        <v>394</v>
      </c>
      <c r="C31" s="192"/>
      <c r="D31" s="193"/>
      <c r="E31" s="194">
        <f aca="true" t="shared" si="24" ref="E31:E36">SUM(C31:D31)</f>
        <v>0</v>
      </c>
      <c r="F31" s="192"/>
      <c r="G31" s="463"/>
      <c r="H31" s="194">
        <f aca="true" t="shared" si="25" ref="H31:H36">SUM(F31:G31)</f>
        <v>0</v>
      </c>
      <c r="I31" s="192"/>
      <c r="J31" s="463"/>
      <c r="K31" s="194">
        <f aca="true" t="shared" si="26" ref="K31:K36">SUM(I31:J31)</f>
        <v>0</v>
      </c>
      <c r="L31" s="212">
        <f aca="true" t="shared" si="27" ref="L31:L36">SUM(E31,H31,K31)</f>
        <v>0</v>
      </c>
      <c r="M31" s="192"/>
      <c r="N31" s="193"/>
      <c r="O31" s="194">
        <f aca="true" t="shared" si="28" ref="O31:O36">SUM(M31:N31)</f>
        <v>0</v>
      </c>
      <c r="P31" s="192"/>
      <c r="Q31" s="193"/>
      <c r="R31" s="194">
        <f aca="true" t="shared" si="29" ref="R31:R36">SUM(P31:Q31)</f>
        <v>0</v>
      </c>
      <c r="S31" s="192"/>
      <c r="T31" s="193"/>
      <c r="U31" s="194">
        <f aca="true" t="shared" si="30" ref="U31:U36">SUM(S31:T31)</f>
        <v>0</v>
      </c>
      <c r="V31" s="212">
        <f aca="true" t="shared" si="31" ref="V31:V36">SUM(O31,R31,U31)</f>
        <v>0</v>
      </c>
      <c r="W31" s="192"/>
      <c r="X31" s="193"/>
      <c r="Y31" s="194">
        <f aca="true" t="shared" si="32" ref="Y31:Y36">SUM(W31:X31)</f>
        <v>0</v>
      </c>
      <c r="Z31" s="192"/>
      <c r="AA31" s="193"/>
      <c r="AB31" s="194">
        <f aca="true" t="shared" si="33" ref="AB31:AB36">SUM(Z31:AA31)</f>
        <v>0</v>
      </c>
      <c r="AC31" s="192"/>
      <c r="AD31" s="193"/>
      <c r="AE31" s="194">
        <f aca="true" t="shared" si="34" ref="AE31:AE36">SUM(AC31:AD31)</f>
        <v>0</v>
      </c>
      <c r="AF31" s="212">
        <f aca="true" t="shared" si="35" ref="AF31:AF36">SUM(Y31,AB31,AE31)</f>
        <v>0</v>
      </c>
      <c r="AG31" s="192"/>
      <c r="AH31" s="193"/>
      <c r="AI31" s="194">
        <f aca="true" t="shared" si="36" ref="AI31:AI36">SUM(AG31:AH31)</f>
        <v>0</v>
      </c>
      <c r="AJ31" s="192"/>
      <c r="AK31" s="193"/>
      <c r="AL31" s="194">
        <f aca="true" t="shared" si="37" ref="AL31:AL36">SUM(AJ31:AK31)</f>
        <v>0</v>
      </c>
      <c r="AM31" s="192"/>
      <c r="AN31" s="193"/>
      <c r="AO31" s="194">
        <f aca="true" t="shared" si="38" ref="AO31:AO36">SUM(AM31:AN31)</f>
        <v>0</v>
      </c>
      <c r="AP31" s="212">
        <f aca="true" t="shared" si="39" ref="AP31:AP36">SUM(AI31,AL31,AO31)</f>
        <v>0</v>
      </c>
      <c r="AQ31" s="146">
        <f t="shared" si="23"/>
        <v>0</v>
      </c>
      <c r="AR31" s="146">
        <f t="shared" si="23"/>
        <v>0</v>
      </c>
      <c r="AS31" s="146">
        <f t="shared" si="17"/>
        <v>0</v>
      </c>
    </row>
    <row r="32" spans="1:45" ht="26.25">
      <c r="A32" s="11" t="s">
        <v>395</v>
      </c>
      <c r="B32" s="155" t="s">
        <v>396</v>
      </c>
      <c r="C32" s="192"/>
      <c r="D32" s="463">
        <v>659847</v>
      </c>
      <c r="E32" s="194">
        <f t="shared" si="24"/>
        <v>659847</v>
      </c>
      <c r="F32" s="192"/>
      <c r="G32" s="463">
        <v>198062</v>
      </c>
      <c r="H32" s="194">
        <f t="shared" si="25"/>
        <v>198062</v>
      </c>
      <c r="I32" s="192"/>
      <c r="J32" s="463">
        <v>24779</v>
      </c>
      <c r="K32" s="194">
        <f t="shared" si="26"/>
        <v>24779</v>
      </c>
      <c r="L32" s="212">
        <f t="shared" si="27"/>
        <v>882688</v>
      </c>
      <c r="M32" s="192">
        <v>100000</v>
      </c>
      <c r="N32" s="193">
        <v>300000</v>
      </c>
      <c r="O32" s="194">
        <f t="shared" si="28"/>
        <v>400000</v>
      </c>
      <c r="P32" s="192">
        <v>200000</v>
      </c>
      <c r="Q32" s="193">
        <v>150000</v>
      </c>
      <c r="R32" s="194">
        <f t="shared" si="29"/>
        <v>350000</v>
      </c>
      <c r="S32" s="192">
        <v>200000</v>
      </c>
      <c r="T32" s="193">
        <v>100000</v>
      </c>
      <c r="U32" s="194">
        <f t="shared" si="30"/>
        <v>300000</v>
      </c>
      <c r="V32" s="212">
        <f t="shared" si="31"/>
        <v>1050000</v>
      </c>
      <c r="W32" s="192"/>
      <c r="X32" s="193"/>
      <c r="Y32" s="194">
        <f t="shared" si="32"/>
        <v>0</v>
      </c>
      <c r="Z32" s="192"/>
      <c r="AA32" s="193"/>
      <c r="AB32" s="194">
        <f t="shared" si="33"/>
        <v>0</v>
      </c>
      <c r="AC32" s="192"/>
      <c r="AD32" s="193"/>
      <c r="AE32" s="194">
        <f t="shared" si="34"/>
        <v>0</v>
      </c>
      <c r="AF32" s="212">
        <f t="shared" si="35"/>
        <v>0</v>
      </c>
      <c r="AG32" s="192"/>
      <c r="AH32" s="193"/>
      <c r="AI32" s="194">
        <f t="shared" si="36"/>
        <v>0</v>
      </c>
      <c r="AJ32" s="192"/>
      <c r="AK32" s="193"/>
      <c r="AL32" s="194">
        <f t="shared" si="37"/>
        <v>0</v>
      </c>
      <c r="AM32" s="192"/>
      <c r="AN32" s="193"/>
      <c r="AO32" s="194">
        <f t="shared" si="38"/>
        <v>0</v>
      </c>
      <c r="AP32" s="212">
        <f t="shared" si="39"/>
        <v>0</v>
      </c>
      <c r="AQ32" s="146">
        <f t="shared" si="23"/>
        <v>500000</v>
      </c>
      <c r="AR32" s="146">
        <f t="shared" si="23"/>
        <v>1432688</v>
      </c>
      <c r="AS32" s="146">
        <f t="shared" si="17"/>
        <v>1932688</v>
      </c>
    </row>
    <row r="33" spans="1:45" ht="26.25">
      <c r="A33" s="11" t="s">
        <v>397</v>
      </c>
      <c r="B33" s="155" t="s">
        <v>398</v>
      </c>
      <c r="C33" s="192"/>
      <c r="D33" s="193"/>
      <c r="E33" s="194">
        <f>SUM(C33:D33)</f>
        <v>0</v>
      </c>
      <c r="F33" s="192"/>
      <c r="G33" s="463">
        <v>2802</v>
      </c>
      <c r="H33" s="194">
        <f t="shared" si="25"/>
        <v>2802</v>
      </c>
      <c r="I33" s="192"/>
      <c r="J33" s="463"/>
      <c r="K33" s="194">
        <f t="shared" si="26"/>
        <v>0</v>
      </c>
      <c r="L33" s="212">
        <f>SUM(E33,H33,K33)</f>
        <v>2802</v>
      </c>
      <c r="M33" s="192"/>
      <c r="N33" s="193"/>
      <c r="O33" s="194">
        <f t="shared" si="28"/>
        <v>0</v>
      </c>
      <c r="P33" s="192"/>
      <c r="Q33" s="193"/>
      <c r="R33" s="194">
        <f t="shared" si="29"/>
        <v>0</v>
      </c>
      <c r="S33" s="192"/>
      <c r="T33" s="193"/>
      <c r="U33" s="194">
        <f t="shared" si="30"/>
        <v>0</v>
      </c>
      <c r="V33" s="212">
        <f>SUM(O33,R33,U33)</f>
        <v>0</v>
      </c>
      <c r="W33" s="192"/>
      <c r="X33" s="193"/>
      <c r="Y33" s="194">
        <f t="shared" si="32"/>
        <v>0</v>
      </c>
      <c r="Z33" s="192"/>
      <c r="AA33" s="193"/>
      <c r="AB33" s="194">
        <f t="shared" si="33"/>
        <v>0</v>
      </c>
      <c r="AC33" s="192"/>
      <c r="AD33" s="193"/>
      <c r="AE33" s="194">
        <f t="shared" si="34"/>
        <v>0</v>
      </c>
      <c r="AF33" s="212">
        <f>SUM(Y33,AB33,AE33)</f>
        <v>0</v>
      </c>
      <c r="AG33" s="192"/>
      <c r="AH33" s="193"/>
      <c r="AI33" s="194">
        <f t="shared" si="36"/>
        <v>0</v>
      </c>
      <c r="AJ33" s="192"/>
      <c r="AK33" s="193"/>
      <c r="AL33" s="194">
        <f t="shared" si="37"/>
        <v>0</v>
      </c>
      <c r="AM33" s="192"/>
      <c r="AN33" s="193"/>
      <c r="AO33" s="194">
        <f t="shared" si="38"/>
        <v>0</v>
      </c>
      <c r="AP33" s="212">
        <f>SUM(AI33,AL33,AO33)</f>
        <v>0</v>
      </c>
      <c r="AQ33" s="146">
        <f>C33+F33+I33+M33+P33+S33+W33+Z33+AC33+AG33+AJ33+AM33</f>
        <v>0</v>
      </c>
      <c r="AR33" s="146">
        <f>D33+G33+J33+N33+Q33+T33+X33+AA33+AD33+AH33+AK33+AN33</f>
        <v>2802</v>
      </c>
      <c r="AS33" s="146">
        <f>SUM(AQ33:AR33)</f>
        <v>2802</v>
      </c>
    </row>
    <row r="34" spans="1:45" ht="26.25">
      <c r="A34" s="11" t="s">
        <v>399</v>
      </c>
      <c r="B34" s="155" t="s">
        <v>400</v>
      </c>
      <c r="C34" s="192"/>
      <c r="D34" s="193"/>
      <c r="E34" s="194">
        <f>SUM(C34:D34)</f>
        <v>0</v>
      </c>
      <c r="F34" s="192"/>
      <c r="G34" s="463"/>
      <c r="H34" s="194">
        <f t="shared" si="25"/>
        <v>0</v>
      </c>
      <c r="I34" s="192"/>
      <c r="J34" s="463">
        <v>8523</v>
      </c>
      <c r="K34" s="194">
        <f t="shared" si="26"/>
        <v>8523</v>
      </c>
      <c r="L34" s="212">
        <f>SUM(E34,H34,K34)</f>
        <v>8523</v>
      </c>
      <c r="M34" s="192"/>
      <c r="N34" s="193">
        <v>100000</v>
      </c>
      <c r="O34" s="194">
        <f t="shared" si="28"/>
        <v>100000</v>
      </c>
      <c r="P34" s="192"/>
      <c r="Q34" s="193"/>
      <c r="R34" s="194">
        <f t="shared" si="29"/>
        <v>0</v>
      </c>
      <c r="S34" s="192"/>
      <c r="T34" s="193"/>
      <c r="U34" s="194">
        <f t="shared" si="30"/>
        <v>0</v>
      </c>
      <c r="V34" s="212">
        <f>SUM(O34,R34,U34)</f>
        <v>100000</v>
      </c>
      <c r="W34" s="192">
        <v>30000</v>
      </c>
      <c r="X34" s="193"/>
      <c r="Y34" s="194">
        <f t="shared" si="32"/>
        <v>30000</v>
      </c>
      <c r="Z34" s="192"/>
      <c r="AA34" s="193"/>
      <c r="AB34" s="194">
        <f t="shared" si="33"/>
        <v>0</v>
      </c>
      <c r="AC34" s="192"/>
      <c r="AD34" s="193"/>
      <c r="AE34" s="194">
        <f t="shared" si="34"/>
        <v>0</v>
      </c>
      <c r="AF34" s="212">
        <f>SUM(Y34,AB34,AE34)</f>
        <v>30000</v>
      </c>
      <c r="AG34" s="192"/>
      <c r="AH34" s="193"/>
      <c r="AI34" s="194">
        <f t="shared" si="36"/>
        <v>0</v>
      </c>
      <c r="AJ34" s="192">
        <v>40000</v>
      </c>
      <c r="AK34" s="193"/>
      <c r="AL34" s="194">
        <f t="shared" si="37"/>
        <v>40000</v>
      </c>
      <c r="AM34" s="192"/>
      <c r="AN34" s="193"/>
      <c r="AO34" s="194">
        <f t="shared" si="38"/>
        <v>0</v>
      </c>
      <c r="AP34" s="212">
        <f>SUM(AI34,AL34,AO34)</f>
        <v>40000</v>
      </c>
      <c r="AQ34" s="146">
        <f>C34+F34+I34+M34+P34+S34+W34+Z34+AC34+AG34+AJ34+AM34</f>
        <v>70000</v>
      </c>
      <c r="AR34" s="146">
        <f>D34+G34+J34+N34+Q34+T34+X34+AA34+AD34+AH34+AK34+AN34</f>
        <v>108523</v>
      </c>
      <c r="AS34" s="146">
        <f>SUM(AQ34:AR34)</f>
        <v>178523</v>
      </c>
    </row>
    <row r="35" spans="1:45" ht="26.25">
      <c r="A35" s="11" t="s">
        <v>401</v>
      </c>
      <c r="B35" s="155" t="s">
        <v>402</v>
      </c>
      <c r="C35" s="192"/>
      <c r="D35" s="193"/>
      <c r="E35" s="194">
        <f t="shared" si="24"/>
        <v>0</v>
      </c>
      <c r="F35" s="192"/>
      <c r="G35" s="463"/>
      <c r="H35" s="194">
        <f t="shared" si="25"/>
        <v>0</v>
      </c>
      <c r="I35" s="192"/>
      <c r="J35" s="463"/>
      <c r="K35" s="194">
        <f t="shared" si="26"/>
        <v>0</v>
      </c>
      <c r="L35" s="212">
        <f t="shared" si="27"/>
        <v>0</v>
      </c>
      <c r="M35" s="192"/>
      <c r="N35" s="193"/>
      <c r="O35" s="194">
        <f t="shared" si="28"/>
        <v>0</v>
      </c>
      <c r="P35" s="192"/>
      <c r="Q35" s="193"/>
      <c r="R35" s="194">
        <f t="shared" si="29"/>
        <v>0</v>
      </c>
      <c r="S35" s="192"/>
      <c r="T35" s="193"/>
      <c r="U35" s="194">
        <f t="shared" si="30"/>
        <v>0</v>
      </c>
      <c r="V35" s="212">
        <f t="shared" si="31"/>
        <v>0</v>
      </c>
      <c r="W35" s="192"/>
      <c r="X35" s="193"/>
      <c r="Y35" s="194">
        <f t="shared" si="32"/>
        <v>0</v>
      </c>
      <c r="Z35" s="192"/>
      <c r="AA35" s="193"/>
      <c r="AB35" s="194">
        <f t="shared" si="33"/>
        <v>0</v>
      </c>
      <c r="AC35" s="192"/>
      <c r="AD35" s="193"/>
      <c r="AE35" s="194">
        <f t="shared" si="34"/>
        <v>0</v>
      </c>
      <c r="AF35" s="212">
        <f t="shared" si="35"/>
        <v>0</v>
      </c>
      <c r="AG35" s="192"/>
      <c r="AH35" s="193"/>
      <c r="AI35" s="194">
        <f t="shared" si="36"/>
        <v>0</v>
      </c>
      <c r="AJ35" s="192"/>
      <c r="AK35" s="193"/>
      <c r="AL35" s="194">
        <f t="shared" si="37"/>
        <v>0</v>
      </c>
      <c r="AM35" s="192"/>
      <c r="AN35" s="193"/>
      <c r="AO35" s="194">
        <f t="shared" si="38"/>
        <v>0</v>
      </c>
      <c r="AP35" s="212">
        <f t="shared" si="39"/>
        <v>0</v>
      </c>
      <c r="AQ35" s="146">
        <f t="shared" si="23"/>
        <v>0</v>
      </c>
      <c r="AR35" s="146">
        <f t="shared" si="23"/>
        <v>0</v>
      </c>
      <c r="AS35" s="146">
        <f t="shared" si="17"/>
        <v>0</v>
      </c>
    </row>
    <row r="36" spans="1:45" ht="26.25">
      <c r="A36" s="11" t="s">
        <v>403</v>
      </c>
      <c r="B36" s="157" t="s">
        <v>404</v>
      </c>
      <c r="C36" s="195"/>
      <c r="D36" s="196"/>
      <c r="E36" s="197">
        <f t="shared" si="24"/>
        <v>0</v>
      </c>
      <c r="F36" s="195"/>
      <c r="G36" s="465"/>
      <c r="H36" s="197">
        <f t="shared" si="25"/>
        <v>0</v>
      </c>
      <c r="I36" s="195"/>
      <c r="J36" s="465"/>
      <c r="K36" s="197">
        <f t="shared" si="26"/>
        <v>0</v>
      </c>
      <c r="L36" s="213">
        <f t="shared" si="27"/>
        <v>0</v>
      </c>
      <c r="M36" s="195"/>
      <c r="N36" s="196"/>
      <c r="O36" s="197">
        <f t="shared" si="28"/>
        <v>0</v>
      </c>
      <c r="P36" s="195"/>
      <c r="Q36" s="196"/>
      <c r="R36" s="197">
        <f t="shared" si="29"/>
        <v>0</v>
      </c>
      <c r="S36" s="195"/>
      <c r="T36" s="196"/>
      <c r="U36" s="197">
        <f t="shared" si="30"/>
        <v>0</v>
      </c>
      <c r="V36" s="213">
        <f t="shared" si="31"/>
        <v>0</v>
      </c>
      <c r="W36" s="195"/>
      <c r="X36" s="196"/>
      <c r="Y36" s="197">
        <f t="shared" si="32"/>
        <v>0</v>
      </c>
      <c r="Z36" s="195"/>
      <c r="AA36" s="196"/>
      <c r="AB36" s="197">
        <f t="shared" si="33"/>
        <v>0</v>
      </c>
      <c r="AC36" s="195"/>
      <c r="AD36" s="196"/>
      <c r="AE36" s="197">
        <f t="shared" si="34"/>
        <v>0</v>
      </c>
      <c r="AF36" s="213">
        <f t="shared" si="35"/>
        <v>0</v>
      </c>
      <c r="AG36" s="195"/>
      <c r="AH36" s="196"/>
      <c r="AI36" s="197">
        <f t="shared" si="36"/>
        <v>0</v>
      </c>
      <c r="AJ36" s="195"/>
      <c r="AK36" s="196"/>
      <c r="AL36" s="197">
        <f t="shared" si="37"/>
        <v>0</v>
      </c>
      <c r="AM36" s="195"/>
      <c r="AN36" s="196"/>
      <c r="AO36" s="197">
        <f t="shared" si="38"/>
        <v>0</v>
      </c>
      <c r="AP36" s="213">
        <f t="shared" si="39"/>
        <v>0</v>
      </c>
      <c r="AQ36" s="144">
        <f t="shared" si="23"/>
        <v>0</v>
      </c>
      <c r="AR36" s="144">
        <f t="shared" si="23"/>
        <v>0</v>
      </c>
      <c r="AS36" s="144">
        <f t="shared" si="17"/>
        <v>0</v>
      </c>
    </row>
    <row r="37" spans="2:45" ht="26.25">
      <c r="B37" s="147" t="s">
        <v>405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1:45" ht="26.25">
      <c r="A38" s="11" t="s">
        <v>406</v>
      </c>
      <c r="B38" s="155" t="s">
        <v>407</v>
      </c>
      <c r="C38" s="462">
        <f>317788+357196+587399</f>
        <v>1262383</v>
      </c>
      <c r="D38" s="463">
        <f>111940+635858</f>
        <v>747798</v>
      </c>
      <c r="E38" s="194">
        <f>SUM(C38:D38)</f>
        <v>2010181</v>
      </c>
      <c r="F38" s="462">
        <f>815333+477573+677817</f>
        <v>1970723</v>
      </c>
      <c r="G38" s="463">
        <v>754815</v>
      </c>
      <c r="H38" s="194">
        <f>SUM(F38:G38)</f>
        <v>2725538</v>
      </c>
      <c r="I38" s="462">
        <f>397804+892147+667870</f>
        <v>1957821</v>
      </c>
      <c r="J38" s="463">
        <f>374073-8523</f>
        <v>365550</v>
      </c>
      <c r="K38" s="194">
        <f>SUM(I38:J38)</f>
        <v>2323371</v>
      </c>
      <c r="L38" s="212">
        <f>SUM(E38,H38,K38)</f>
        <v>7059090</v>
      </c>
      <c r="M38" s="462">
        <v>1500000</v>
      </c>
      <c r="N38" s="463">
        <v>300000</v>
      </c>
      <c r="O38" s="194">
        <f>SUM(M38:N38)</f>
        <v>1800000</v>
      </c>
      <c r="P38" s="462">
        <v>1500000</v>
      </c>
      <c r="Q38" s="463">
        <v>200000</v>
      </c>
      <c r="R38" s="194">
        <f>SUM(P38:Q38)</f>
        <v>1700000</v>
      </c>
      <c r="S38" s="462">
        <v>1500000</v>
      </c>
      <c r="T38" s="463">
        <v>200000</v>
      </c>
      <c r="U38" s="194">
        <f>SUM(S38:T38)</f>
        <v>1700000</v>
      </c>
      <c r="V38" s="212">
        <f>SUM(O38,R38,U38)</f>
        <v>5200000</v>
      </c>
      <c r="W38" s="462">
        <v>1500000</v>
      </c>
      <c r="X38" s="463">
        <v>100000</v>
      </c>
      <c r="Y38" s="194">
        <f>SUM(W38:X38)</f>
        <v>1600000</v>
      </c>
      <c r="Z38" s="462">
        <v>1500000</v>
      </c>
      <c r="AA38" s="463">
        <v>100000</v>
      </c>
      <c r="AB38" s="194">
        <f>SUM(Z38:AA38)</f>
        <v>1600000</v>
      </c>
      <c r="AC38" s="462">
        <v>1700000</v>
      </c>
      <c r="AD38" s="193"/>
      <c r="AE38" s="194">
        <f>SUM(AC38:AD38)</f>
        <v>1700000</v>
      </c>
      <c r="AF38" s="212">
        <f>SUM(Y38,AB38,AE38)</f>
        <v>4900000</v>
      </c>
      <c r="AG38" s="462">
        <v>1700000</v>
      </c>
      <c r="AH38" s="193"/>
      <c r="AI38" s="194">
        <f>SUM(AG38:AH38)</f>
        <v>1700000</v>
      </c>
      <c r="AJ38" s="462">
        <v>1700000</v>
      </c>
      <c r="AK38" s="193"/>
      <c r="AL38" s="194">
        <f>SUM(AJ38:AK38)</f>
        <v>1700000</v>
      </c>
      <c r="AM38" s="462">
        <v>1700000</v>
      </c>
      <c r="AN38" s="193"/>
      <c r="AO38" s="194">
        <f>SUM(AM38:AN38)</f>
        <v>1700000</v>
      </c>
      <c r="AP38" s="212">
        <f>SUM(AI38,AL38,AO38)</f>
        <v>5100000</v>
      </c>
      <c r="AQ38" s="146">
        <f>C38+F38+I38+M38+P38+S38+W38+Z38+AC38+AG38+AJ38+AM38</f>
        <v>19490927</v>
      </c>
      <c r="AR38" s="146">
        <f>D38+G38+J38+N38+Q38+T38+X38+AA38+AD38+AH38+AK38+AN38</f>
        <v>2768163</v>
      </c>
      <c r="AS38" s="146">
        <f t="shared" si="17"/>
        <v>22259090</v>
      </c>
    </row>
    <row r="39" spans="1:45" ht="26.25">
      <c r="A39" s="11" t="s">
        <v>408</v>
      </c>
      <c r="B39" s="158" t="s">
        <v>409</v>
      </c>
      <c r="C39" s="464">
        <v>78671</v>
      </c>
      <c r="D39" s="465"/>
      <c r="E39" s="197">
        <f>SUM(C39:D39)</f>
        <v>78671</v>
      </c>
      <c r="F39" s="464">
        <v>76998</v>
      </c>
      <c r="G39" s="465"/>
      <c r="H39" s="197">
        <f>SUM(F39:G39)</f>
        <v>76998</v>
      </c>
      <c r="I39" s="464">
        <v>80277</v>
      </c>
      <c r="J39" s="465"/>
      <c r="K39" s="197">
        <f>SUM(I39:J39)</f>
        <v>80277</v>
      </c>
      <c r="L39" s="214">
        <f>SUM(E39,H39,K39)</f>
        <v>235946</v>
      </c>
      <c r="M39" s="195">
        <v>80000</v>
      </c>
      <c r="N39" s="196"/>
      <c r="O39" s="197">
        <f>SUM(M39:N39)</f>
        <v>80000</v>
      </c>
      <c r="P39" s="195">
        <v>80000</v>
      </c>
      <c r="Q39" s="196"/>
      <c r="R39" s="197">
        <f>SUM(P39:Q39)</f>
        <v>80000</v>
      </c>
      <c r="S39" s="195">
        <v>80000</v>
      </c>
      <c r="T39" s="196"/>
      <c r="U39" s="197">
        <f>SUM(S39:T39)</f>
        <v>80000</v>
      </c>
      <c r="V39" s="214">
        <f>SUM(O39,R39,U39)</f>
        <v>240000</v>
      </c>
      <c r="W39" s="195">
        <v>80000</v>
      </c>
      <c r="X39" s="196"/>
      <c r="Y39" s="197">
        <f>SUM(W39:X39)</f>
        <v>80000</v>
      </c>
      <c r="Z39" s="195">
        <v>80000</v>
      </c>
      <c r="AA39" s="196"/>
      <c r="AB39" s="197">
        <f>SUM(Z39:AA39)</f>
        <v>80000</v>
      </c>
      <c r="AC39" s="195">
        <v>80000</v>
      </c>
      <c r="AD39" s="196"/>
      <c r="AE39" s="197">
        <f>SUM(AC39:AD39)</f>
        <v>80000</v>
      </c>
      <c r="AF39" s="214">
        <f>SUM(Y39,AB39,AE39)</f>
        <v>240000</v>
      </c>
      <c r="AG39" s="195">
        <v>80000</v>
      </c>
      <c r="AH39" s="196"/>
      <c r="AI39" s="197">
        <f>SUM(AG39:AH39)</f>
        <v>80000</v>
      </c>
      <c r="AJ39" s="195">
        <v>80000</v>
      </c>
      <c r="AK39" s="196"/>
      <c r="AL39" s="197">
        <f>SUM(AJ39:AK39)</f>
        <v>80000</v>
      </c>
      <c r="AM39" s="195">
        <v>80000</v>
      </c>
      <c r="AN39" s="196"/>
      <c r="AO39" s="197">
        <f>SUM(AM39:AN39)</f>
        <v>80000</v>
      </c>
      <c r="AP39" s="214">
        <f>SUM(AI39,AL39,AO39)</f>
        <v>240000</v>
      </c>
      <c r="AQ39" s="159">
        <f>C39+F39+I39+M39+P39+S39+W39+Z39+AC39+AG39+AJ39+AM39</f>
        <v>955946</v>
      </c>
      <c r="AR39" s="159">
        <f>D39+G39+J39+N39+Q39+T39+X39+AA39+AD39+AH39+AK39+AN39</f>
        <v>0</v>
      </c>
      <c r="AS39" s="159">
        <f t="shared" si="17"/>
        <v>955946</v>
      </c>
    </row>
    <row r="40" spans="2:45" ht="51" customHeight="1">
      <c r="B40" s="171" t="s">
        <v>410</v>
      </c>
      <c r="C40" s="171"/>
      <c r="D40" s="172"/>
      <c r="E40" s="172"/>
      <c r="F40" s="171"/>
      <c r="G40" s="172"/>
      <c r="H40" s="172"/>
      <c r="I40" s="171"/>
      <c r="J40" s="172"/>
      <c r="K40" s="172"/>
      <c r="L40" s="172"/>
      <c r="M40" s="171"/>
      <c r="N40" s="172"/>
      <c r="O40" s="172"/>
      <c r="P40" s="171"/>
      <c r="Q40" s="172"/>
      <c r="R40" s="172"/>
      <c r="S40" s="171"/>
      <c r="T40" s="172"/>
      <c r="U40" s="172"/>
      <c r="V40" s="172"/>
      <c r="W40" s="171"/>
      <c r="X40" s="172"/>
      <c r="Y40" s="172"/>
      <c r="Z40" s="171"/>
      <c r="AA40" s="172"/>
      <c r="AB40" s="172"/>
      <c r="AC40" s="171"/>
      <c r="AD40" s="172"/>
      <c r="AE40" s="172"/>
      <c r="AF40" s="172"/>
      <c r="AG40" s="171"/>
      <c r="AH40" s="172"/>
      <c r="AI40" s="172"/>
      <c r="AJ40" s="171"/>
      <c r="AK40" s="172"/>
      <c r="AL40" s="172"/>
      <c r="AM40" s="171"/>
      <c r="AN40" s="172"/>
      <c r="AO40" s="172"/>
      <c r="AP40" s="172"/>
      <c r="AQ40" s="172"/>
      <c r="AR40" s="172"/>
      <c r="AS40" s="173"/>
    </row>
    <row r="41" spans="1:45" ht="26.25">
      <c r="A41" s="11" t="s">
        <v>411</v>
      </c>
      <c r="B41" s="160" t="s">
        <v>412</v>
      </c>
      <c r="C41" s="201"/>
      <c r="D41" s="466">
        <v>243479</v>
      </c>
      <c r="E41" s="203">
        <f>SUM(C41:D41)</f>
        <v>243479</v>
      </c>
      <c r="F41" s="201"/>
      <c r="G41" s="466">
        <v>1160947</v>
      </c>
      <c r="H41" s="203">
        <f>SUM(F41:G41)</f>
        <v>1160947</v>
      </c>
      <c r="I41" s="201"/>
      <c r="J41" s="466">
        <v>284027</v>
      </c>
      <c r="K41" s="203">
        <f>SUM(I41:J41)</f>
        <v>284027</v>
      </c>
      <c r="L41" s="215">
        <f>SUM(E41,H41,K41)</f>
        <v>1688453</v>
      </c>
      <c r="M41" s="201"/>
      <c r="N41" s="202"/>
      <c r="O41" s="203">
        <f>SUM(M41:N41)</f>
        <v>0</v>
      </c>
      <c r="P41" s="201"/>
      <c r="Q41" s="202">
        <v>150000</v>
      </c>
      <c r="R41" s="203">
        <f>SUM(P41:Q41)</f>
        <v>150000</v>
      </c>
      <c r="S41" s="201"/>
      <c r="T41" s="202"/>
      <c r="U41" s="203">
        <f>SUM(S41:T41)</f>
        <v>0</v>
      </c>
      <c r="V41" s="215">
        <f>SUM(O41,R41,U41)</f>
        <v>150000</v>
      </c>
      <c r="W41" s="201"/>
      <c r="X41" s="202">
        <v>250000</v>
      </c>
      <c r="Y41" s="203">
        <f>SUM(W41:X41)</f>
        <v>250000</v>
      </c>
      <c r="Z41" s="201"/>
      <c r="AA41" s="202"/>
      <c r="AB41" s="203">
        <f>SUM(Z41:AA41)</f>
        <v>0</v>
      </c>
      <c r="AC41" s="201"/>
      <c r="AD41" s="202">
        <v>650000</v>
      </c>
      <c r="AE41" s="203">
        <f>SUM(AC41:AD41)</f>
        <v>650000</v>
      </c>
      <c r="AF41" s="215">
        <f>SUM(Y41,AB41,AE41)</f>
        <v>900000</v>
      </c>
      <c r="AG41" s="201">
        <v>250000</v>
      </c>
      <c r="AH41" s="202"/>
      <c r="AI41" s="203">
        <f>SUM(AG41:AH41)</f>
        <v>250000</v>
      </c>
      <c r="AJ41" s="201">
        <v>150000</v>
      </c>
      <c r="AK41" s="202">
        <v>450000</v>
      </c>
      <c r="AL41" s="203">
        <f>SUM(AJ41:AK41)</f>
        <v>600000</v>
      </c>
      <c r="AM41" s="201"/>
      <c r="AN41" s="202"/>
      <c r="AO41" s="203">
        <f>SUM(AM41:AN41)</f>
        <v>0</v>
      </c>
      <c r="AP41" s="215">
        <f>SUM(AI41,AL41,AO41)</f>
        <v>850000</v>
      </c>
      <c r="AQ41" s="142">
        <f aca="true" t="shared" si="40" ref="AQ41:AR43">C41+F41+I41+M41+P41+S41+W41+Z41+AC41+AG41+AJ41+AM41</f>
        <v>400000</v>
      </c>
      <c r="AR41" s="142">
        <f t="shared" si="40"/>
        <v>3188453</v>
      </c>
      <c r="AS41" s="142">
        <f t="shared" si="17"/>
        <v>3588453</v>
      </c>
    </row>
    <row r="42" spans="1:45" ht="26.25">
      <c r="A42" s="11" t="s">
        <v>413</v>
      </c>
      <c r="B42" s="161" t="s">
        <v>414</v>
      </c>
      <c r="C42" s="192"/>
      <c r="D42" s="193"/>
      <c r="E42" s="194">
        <f>SUM(C42:D42)</f>
        <v>0</v>
      </c>
      <c r="F42" s="192"/>
      <c r="G42" s="193"/>
      <c r="H42" s="194">
        <f>SUM(F42:G42)</f>
        <v>0</v>
      </c>
      <c r="I42" s="192"/>
      <c r="J42" s="463"/>
      <c r="K42" s="194">
        <f>SUM(I42:J42)</f>
        <v>0</v>
      </c>
      <c r="L42" s="212">
        <f>SUM(E42,H42,K42)</f>
        <v>0</v>
      </c>
      <c r="M42" s="192"/>
      <c r="N42" s="193"/>
      <c r="O42" s="194">
        <f>SUM(M42:N42)</f>
        <v>0</v>
      </c>
      <c r="P42" s="192"/>
      <c r="Q42" s="193"/>
      <c r="R42" s="194">
        <f>SUM(P42:Q42)</f>
        <v>0</v>
      </c>
      <c r="S42" s="192"/>
      <c r="T42" s="193"/>
      <c r="U42" s="194">
        <f>SUM(S42:T42)</f>
        <v>0</v>
      </c>
      <c r="V42" s="212">
        <f>SUM(O42,R42,U42)</f>
        <v>0</v>
      </c>
      <c r="W42" s="192"/>
      <c r="X42" s="193"/>
      <c r="Y42" s="194">
        <f>SUM(W42:X42)</f>
        <v>0</v>
      </c>
      <c r="Z42" s="192"/>
      <c r="AA42" s="193"/>
      <c r="AB42" s="194">
        <f>SUM(Z42:AA42)</f>
        <v>0</v>
      </c>
      <c r="AC42" s="192"/>
      <c r="AD42" s="193"/>
      <c r="AE42" s="194">
        <f>SUM(AC42:AD42)</f>
        <v>0</v>
      </c>
      <c r="AF42" s="212">
        <f>SUM(Y42,AB42,AE42)</f>
        <v>0</v>
      </c>
      <c r="AG42" s="192"/>
      <c r="AH42" s="193"/>
      <c r="AI42" s="194">
        <f>SUM(AG42:AH42)</f>
        <v>0</v>
      </c>
      <c r="AJ42" s="192"/>
      <c r="AK42" s="193"/>
      <c r="AL42" s="194">
        <f>SUM(AJ42:AK42)</f>
        <v>0</v>
      </c>
      <c r="AM42" s="192"/>
      <c r="AN42" s="193"/>
      <c r="AO42" s="194">
        <f>SUM(AM42:AN42)</f>
        <v>0</v>
      </c>
      <c r="AP42" s="212">
        <f>SUM(AI42,AL42,AO42)</f>
        <v>0</v>
      </c>
      <c r="AQ42" s="146">
        <f t="shared" si="40"/>
        <v>0</v>
      </c>
      <c r="AR42" s="146">
        <f t="shared" si="40"/>
        <v>0</v>
      </c>
      <c r="AS42" s="146">
        <f t="shared" si="17"/>
        <v>0</v>
      </c>
    </row>
    <row r="43" spans="1:45" ht="26.25">
      <c r="A43" s="11" t="s">
        <v>415</v>
      </c>
      <c r="B43" s="161" t="s">
        <v>416</v>
      </c>
      <c r="C43" s="192"/>
      <c r="D43" s="193"/>
      <c r="E43" s="194">
        <f>SUM(C43:D43)</f>
        <v>0</v>
      </c>
      <c r="F43" s="192"/>
      <c r="G43" s="193"/>
      <c r="H43" s="194">
        <f>SUM(F43:G43)</f>
        <v>0</v>
      </c>
      <c r="I43" s="192"/>
      <c r="J43" s="463"/>
      <c r="K43" s="194">
        <f>SUM(I43:J43)</f>
        <v>0</v>
      </c>
      <c r="L43" s="212">
        <f>SUM(E43,H43,K43)</f>
        <v>0</v>
      </c>
      <c r="M43" s="192"/>
      <c r="N43" s="193"/>
      <c r="O43" s="194">
        <f>SUM(M43:N43)</f>
        <v>0</v>
      </c>
      <c r="P43" s="192"/>
      <c r="Q43" s="193"/>
      <c r="R43" s="194">
        <f>SUM(P43:Q43)</f>
        <v>0</v>
      </c>
      <c r="S43" s="192"/>
      <c r="T43" s="193"/>
      <c r="U43" s="194">
        <f>SUM(S43:T43)</f>
        <v>0</v>
      </c>
      <c r="V43" s="212">
        <f>SUM(O43,R43,U43)</f>
        <v>0</v>
      </c>
      <c r="W43" s="192"/>
      <c r="X43" s="193"/>
      <c r="Y43" s="194">
        <f>SUM(W43:X43)</f>
        <v>0</v>
      </c>
      <c r="Z43" s="192"/>
      <c r="AA43" s="193"/>
      <c r="AB43" s="194">
        <f>SUM(Z43:AA43)</f>
        <v>0</v>
      </c>
      <c r="AC43" s="192"/>
      <c r="AD43" s="193"/>
      <c r="AE43" s="194">
        <f>SUM(AC43:AD43)</f>
        <v>0</v>
      </c>
      <c r="AF43" s="212">
        <f>SUM(Y43,AB43,AE43)</f>
        <v>0</v>
      </c>
      <c r="AG43" s="192"/>
      <c r="AH43" s="193"/>
      <c r="AI43" s="194">
        <f>SUM(AG43:AH43)</f>
        <v>0</v>
      </c>
      <c r="AJ43" s="192"/>
      <c r="AK43" s="193"/>
      <c r="AL43" s="194">
        <f>SUM(AJ43:AK43)</f>
        <v>0</v>
      </c>
      <c r="AM43" s="192"/>
      <c r="AN43" s="193"/>
      <c r="AO43" s="194">
        <f>SUM(AM43:AN43)</f>
        <v>0</v>
      </c>
      <c r="AP43" s="212">
        <f>SUM(AI43,AL43,AO43)</f>
        <v>0</v>
      </c>
      <c r="AQ43" s="146">
        <f t="shared" si="40"/>
        <v>0</v>
      </c>
      <c r="AR43" s="146">
        <f t="shared" si="40"/>
        <v>0</v>
      </c>
      <c r="AS43" s="146">
        <f t="shared" si="17"/>
        <v>0</v>
      </c>
    </row>
    <row r="44" spans="1:45" ht="26.25">
      <c r="A44" s="11" t="s">
        <v>417</v>
      </c>
      <c r="B44" s="150" t="s">
        <v>418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2"/>
    </row>
    <row r="45" spans="1:45" ht="26.25">
      <c r="A45" s="11" t="s">
        <v>419</v>
      </c>
      <c r="B45" s="162" t="s">
        <v>420</v>
      </c>
      <c r="C45" s="192"/>
      <c r="D45" s="193"/>
      <c r="E45" s="194">
        <f>SUM(C45:D45)</f>
        <v>0</v>
      </c>
      <c r="F45" s="192"/>
      <c r="G45" s="193"/>
      <c r="H45" s="194">
        <f>SUM(F45:G45)</f>
        <v>0</v>
      </c>
      <c r="I45" s="192"/>
      <c r="J45" s="193"/>
      <c r="K45" s="194">
        <f>SUM(I45:J45)</f>
        <v>0</v>
      </c>
      <c r="L45" s="212">
        <f>SUM(E45,H45,K45)</f>
        <v>0</v>
      </c>
      <c r="M45" s="192"/>
      <c r="N45" s="193"/>
      <c r="O45" s="194">
        <f>SUM(M45:N45)</f>
        <v>0</v>
      </c>
      <c r="P45" s="192"/>
      <c r="Q45" s="193"/>
      <c r="R45" s="194">
        <f>SUM(P45:Q45)</f>
        <v>0</v>
      </c>
      <c r="S45" s="192"/>
      <c r="T45" s="193"/>
      <c r="U45" s="194">
        <f>SUM(S45:T45)</f>
        <v>0</v>
      </c>
      <c r="V45" s="212">
        <f>SUM(O45,R45,U45)</f>
        <v>0</v>
      </c>
      <c r="W45" s="192"/>
      <c r="X45" s="193"/>
      <c r="Y45" s="194">
        <f>SUM(W45:X45)</f>
        <v>0</v>
      </c>
      <c r="Z45" s="192"/>
      <c r="AA45" s="193"/>
      <c r="AB45" s="194">
        <f>SUM(Z45:AA45)</f>
        <v>0</v>
      </c>
      <c r="AC45" s="192"/>
      <c r="AD45" s="193"/>
      <c r="AE45" s="194">
        <f>SUM(AC45:AD45)</f>
        <v>0</v>
      </c>
      <c r="AF45" s="212">
        <f>SUM(Y45,AB45,AE45)</f>
        <v>0</v>
      </c>
      <c r="AG45" s="192"/>
      <c r="AH45" s="193"/>
      <c r="AI45" s="194">
        <f>SUM(AG45:AH45)</f>
        <v>0</v>
      </c>
      <c r="AJ45" s="192"/>
      <c r="AK45" s="193"/>
      <c r="AL45" s="194">
        <f>SUM(AJ45:AK45)</f>
        <v>0</v>
      </c>
      <c r="AM45" s="192"/>
      <c r="AN45" s="193"/>
      <c r="AO45" s="194">
        <f>SUM(AM45:AN45)</f>
        <v>0</v>
      </c>
      <c r="AP45" s="212">
        <f>SUM(AI45,AL45,AO45)</f>
        <v>0</v>
      </c>
      <c r="AQ45" s="146">
        <f>C45+F45+I45+M45+P45+S45+W45+Z45+AC45+AG45+AJ45+AM45</f>
        <v>0</v>
      </c>
      <c r="AR45" s="146">
        <f>D45+G45+J45+N45+Q45+T45+X45+AA45+AD45+AH45+AK45+AN45</f>
        <v>0</v>
      </c>
      <c r="AS45" s="146">
        <f t="shared" si="17"/>
        <v>0</v>
      </c>
    </row>
    <row r="46" spans="1:45" ht="26.25">
      <c r="A46" s="11" t="s">
        <v>421</v>
      </c>
      <c r="B46" s="163" t="s">
        <v>422</v>
      </c>
      <c r="C46" s="195"/>
      <c r="D46" s="196"/>
      <c r="E46" s="197">
        <f>SUM(C46:D46)</f>
        <v>0</v>
      </c>
      <c r="F46" s="195"/>
      <c r="G46" s="196"/>
      <c r="H46" s="197">
        <f>SUM(F46:G46)</f>
        <v>0</v>
      </c>
      <c r="I46" s="195"/>
      <c r="J46" s="196"/>
      <c r="K46" s="197">
        <f>SUM(I46:J46)</f>
        <v>0</v>
      </c>
      <c r="L46" s="214">
        <f>SUM(E46,H46,K46)</f>
        <v>0</v>
      </c>
      <c r="M46" s="195"/>
      <c r="N46" s="196"/>
      <c r="O46" s="197">
        <f>SUM(M46:N46)</f>
        <v>0</v>
      </c>
      <c r="P46" s="195"/>
      <c r="Q46" s="196"/>
      <c r="R46" s="197">
        <f>SUM(P46:Q46)</f>
        <v>0</v>
      </c>
      <c r="S46" s="195"/>
      <c r="T46" s="196"/>
      <c r="U46" s="197">
        <f>SUM(S46:T46)</f>
        <v>0</v>
      </c>
      <c r="V46" s="214">
        <f>SUM(O46,R46,U46)</f>
        <v>0</v>
      </c>
      <c r="W46" s="195"/>
      <c r="X46" s="196"/>
      <c r="Y46" s="197">
        <f>SUM(W46:X46)</f>
        <v>0</v>
      </c>
      <c r="Z46" s="195"/>
      <c r="AA46" s="196"/>
      <c r="AB46" s="197">
        <f>SUM(Z46:AA46)</f>
        <v>0</v>
      </c>
      <c r="AC46" s="195"/>
      <c r="AD46" s="196"/>
      <c r="AE46" s="197">
        <f>SUM(AC46:AD46)</f>
        <v>0</v>
      </c>
      <c r="AF46" s="214">
        <f>SUM(Y46,AB46,AE46)</f>
        <v>0</v>
      </c>
      <c r="AG46" s="195"/>
      <c r="AH46" s="196"/>
      <c r="AI46" s="197">
        <f>SUM(AG46:AH46)</f>
        <v>0</v>
      </c>
      <c r="AJ46" s="195"/>
      <c r="AK46" s="196"/>
      <c r="AL46" s="197">
        <f>SUM(AJ46:AK46)</f>
        <v>0</v>
      </c>
      <c r="AM46" s="195"/>
      <c r="AN46" s="196"/>
      <c r="AO46" s="197">
        <f>SUM(AM46:AN46)</f>
        <v>0</v>
      </c>
      <c r="AP46" s="214">
        <f>SUM(AI46,AL46,AO46)</f>
        <v>0</v>
      </c>
      <c r="AQ46" s="159">
        <f>C46+F46+I46+M46+P46+S46+W46+Z46+AC46+AG46+AJ46+AM46</f>
        <v>0</v>
      </c>
      <c r="AR46" s="159">
        <f>D46+G46+J46+N46+Q46+T46+X46+AA46+AD46+AH46+AK46+AN46</f>
        <v>0</v>
      </c>
      <c r="AS46" s="159">
        <f t="shared" si="17"/>
        <v>0</v>
      </c>
    </row>
    <row r="47" spans="2:45" ht="54" customHeight="1">
      <c r="B47" s="171" t="s">
        <v>423</v>
      </c>
      <c r="C47" s="171"/>
      <c r="D47" s="172"/>
      <c r="E47" s="172"/>
      <c r="F47" s="171"/>
      <c r="G47" s="172"/>
      <c r="H47" s="172"/>
      <c r="I47" s="171"/>
      <c r="J47" s="172"/>
      <c r="K47" s="172"/>
      <c r="L47" s="172"/>
      <c r="M47" s="171"/>
      <c r="N47" s="172"/>
      <c r="O47" s="172"/>
      <c r="P47" s="171"/>
      <c r="Q47" s="172"/>
      <c r="R47" s="172"/>
      <c r="S47" s="171"/>
      <c r="T47" s="172"/>
      <c r="U47" s="172"/>
      <c r="V47" s="172"/>
      <c r="W47" s="171"/>
      <c r="X47" s="172"/>
      <c r="Y47" s="172"/>
      <c r="Z47" s="171"/>
      <c r="AA47" s="172"/>
      <c r="AB47" s="172"/>
      <c r="AC47" s="171"/>
      <c r="AD47" s="172"/>
      <c r="AE47" s="172"/>
      <c r="AF47" s="172"/>
      <c r="AG47" s="171"/>
      <c r="AH47" s="172"/>
      <c r="AI47" s="172"/>
      <c r="AJ47" s="171"/>
      <c r="AK47" s="172"/>
      <c r="AL47" s="172"/>
      <c r="AM47" s="171"/>
      <c r="AN47" s="172"/>
      <c r="AO47" s="172"/>
      <c r="AP47" s="172"/>
      <c r="AQ47" s="172"/>
      <c r="AR47" s="172"/>
      <c r="AS47" s="173"/>
    </row>
    <row r="48" spans="1:45" ht="26.25">
      <c r="A48" s="11" t="s">
        <v>424</v>
      </c>
      <c r="B48" s="165" t="s">
        <v>425</v>
      </c>
      <c r="C48" s="201"/>
      <c r="D48" s="202"/>
      <c r="E48" s="203">
        <f>SUM(C48:D48)</f>
        <v>0</v>
      </c>
      <c r="F48" s="201"/>
      <c r="G48" s="202"/>
      <c r="H48" s="203">
        <f>SUM(F48:G48)</f>
        <v>0</v>
      </c>
      <c r="I48" s="201"/>
      <c r="J48" s="202"/>
      <c r="K48" s="203">
        <f>SUM(I48:J48)</f>
        <v>0</v>
      </c>
      <c r="L48" s="215">
        <f>SUM(E48,H48,K48)</f>
        <v>0</v>
      </c>
      <c r="M48" s="201"/>
      <c r="N48" s="202"/>
      <c r="O48" s="203">
        <f>SUM(M48:N48)</f>
        <v>0</v>
      </c>
      <c r="P48" s="201"/>
      <c r="Q48" s="202"/>
      <c r="R48" s="203">
        <f>SUM(P48:Q48)</f>
        <v>0</v>
      </c>
      <c r="S48" s="201"/>
      <c r="T48" s="202"/>
      <c r="U48" s="203">
        <f>SUM(S48:T48)</f>
        <v>0</v>
      </c>
      <c r="V48" s="215">
        <f>SUM(O48,R48,U48)</f>
        <v>0</v>
      </c>
      <c r="W48" s="201"/>
      <c r="X48" s="202"/>
      <c r="Y48" s="203">
        <f>SUM(W48:X48)</f>
        <v>0</v>
      </c>
      <c r="Z48" s="201"/>
      <c r="AA48" s="202"/>
      <c r="AB48" s="203">
        <f>SUM(Z48:AA48)</f>
        <v>0</v>
      </c>
      <c r="AC48" s="201"/>
      <c r="AD48" s="202"/>
      <c r="AE48" s="203">
        <f>SUM(AC48:AD48)</f>
        <v>0</v>
      </c>
      <c r="AF48" s="215">
        <f>SUM(Y48,AB48,AE48)</f>
        <v>0</v>
      </c>
      <c r="AG48" s="201"/>
      <c r="AH48" s="202"/>
      <c r="AI48" s="203">
        <f>SUM(AG48:AH48)</f>
        <v>0</v>
      </c>
      <c r="AJ48" s="201"/>
      <c r="AK48" s="202"/>
      <c r="AL48" s="203">
        <f>SUM(AJ48:AK48)</f>
        <v>0</v>
      </c>
      <c r="AM48" s="201"/>
      <c r="AN48" s="202"/>
      <c r="AO48" s="203">
        <f>SUM(AM48:AN48)</f>
        <v>0</v>
      </c>
      <c r="AP48" s="215">
        <f>SUM(AI48,AL48,AO48)</f>
        <v>0</v>
      </c>
      <c r="AQ48" s="142">
        <f aca="true" t="shared" si="41" ref="AQ48:AR50">C48+F48+I48+M48+P48+S48+W48+Z48+AC48+AG48+AJ48+AM48</f>
        <v>0</v>
      </c>
      <c r="AR48" s="142">
        <f t="shared" si="41"/>
        <v>0</v>
      </c>
      <c r="AS48" s="142">
        <f t="shared" si="17"/>
        <v>0</v>
      </c>
    </row>
    <row r="49" spans="1:45" ht="26.25">
      <c r="A49" s="11" t="s">
        <v>426</v>
      </c>
      <c r="B49" s="155" t="s">
        <v>427</v>
      </c>
      <c r="C49" s="192"/>
      <c r="D49" s="193"/>
      <c r="E49" s="194">
        <f>SUM(C49:D49)</f>
        <v>0</v>
      </c>
      <c r="F49" s="192"/>
      <c r="G49" s="193"/>
      <c r="H49" s="194">
        <f>SUM(F49:G49)</f>
        <v>0</v>
      </c>
      <c r="I49" s="192"/>
      <c r="J49" s="193"/>
      <c r="K49" s="194">
        <f>SUM(I49:J49)</f>
        <v>0</v>
      </c>
      <c r="L49" s="212">
        <f>SUM(E49,H49,K49)</f>
        <v>0</v>
      </c>
      <c r="M49" s="192"/>
      <c r="N49" s="193"/>
      <c r="O49" s="194">
        <f>SUM(M49:N49)</f>
        <v>0</v>
      </c>
      <c r="P49" s="192"/>
      <c r="Q49" s="193"/>
      <c r="R49" s="194">
        <f>SUM(P49:Q49)</f>
        <v>0</v>
      </c>
      <c r="S49" s="192"/>
      <c r="T49" s="193"/>
      <c r="U49" s="194">
        <f>SUM(S49:T49)</f>
        <v>0</v>
      </c>
      <c r="V49" s="212">
        <f>SUM(O49,R49,U49)</f>
        <v>0</v>
      </c>
      <c r="W49" s="192"/>
      <c r="X49" s="193"/>
      <c r="Y49" s="194">
        <f>SUM(W49:X49)</f>
        <v>0</v>
      </c>
      <c r="Z49" s="192"/>
      <c r="AA49" s="193"/>
      <c r="AB49" s="194">
        <f>SUM(Z49:AA49)</f>
        <v>0</v>
      </c>
      <c r="AC49" s="192"/>
      <c r="AD49" s="193"/>
      <c r="AE49" s="194">
        <f>SUM(AC49:AD49)</f>
        <v>0</v>
      </c>
      <c r="AF49" s="212">
        <f>SUM(Y49,AB49,AE49)</f>
        <v>0</v>
      </c>
      <c r="AG49" s="192"/>
      <c r="AH49" s="193"/>
      <c r="AI49" s="194">
        <f>SUM(AG49:AH49)</f>
        <v>0</v>
      </c>
      <c r="AJ49" s="192"/>
      <c r="AK49" s="193"/>
      <c r="AL49" s="194">
        <f>SUM(AJ49:AK49)</f>
        <v>0</v>
      </c>
      <c r="AM49" s="192"/>
      <c r="AN49" s="193"/>
      <c r="AO49" s="194">
        <f>SUM(AM49:AN49)</f>
        <v>0</v>
      </c>
      <c r="AP49" s="212">
        <f>SUM(AI49,AL49,AO49)</f>
        <v>0</v>
      </c>
      <c r="AQ49" s="146">
        <f t="shared" si="41"/>
        <v>0</v>
      </c>
      <c r="AR49" s="146">
        <f t="shared" si="41"/>
        <v>0</v>
      </c>
      <c r="AS49" s="146">
        <f t="shared" si="17"/>
        <v>0</v>
      </c>
    </row>
    <row r="50" spans="1:45" ht="26.25">
      <c r="A50" s="11" t="s">
        <v>428</v>
      </c>
      <c r="B50" s="158" t="s">
        <v>429</v>
      </c>
      <c r="C50" s="195"/>
      <c r="D50" s="196"/>
      <c r="E50" s="197">
        <f>SUM(C50:D50)</f>
        <v>0</v>
      </c>
      <c r="F50" s="195"/>
      <c r="G50" s="196"/>
      <c r="H50" s="197">
        <f>SUM(F50:G50)</f>
        <v>0</v>
      </c>
      <c r="I50" s="195"/>
      <c r="J50" s="196"/>
      <c r="K50" s="197">
        <f>SUM(I50:J50)</f>
        <v>0</v>
      </c>
      <c r="L50" s="214">
        <f>SUM(E50,H50,K50)</f>
        <v>0</v>
      </c>
      <c r="M50" s="195"/>
      <c r="N50" s="196"/>
      <c r="O50" s="197">
        <f>SUM(M50:N50)</f>
        <v>0</v>
      </c>
      <c r="P50" s="195"/>
      <c r="Q50" s="196"/>
      <c r="R50" s="197">
        <f>SUM(P50:Q50)</f>
        <v>0</v>
      </c>
      <c r="S50" s="195"/>
      <c r="T50" s="196"/>
      <c r="U50" s="197">
        <f>SUM(S50:T50)</f>
        <v>0</v>
      </c>
      <c r="V50" s="214">
        <f>SUM(O50,R50,U50)</f>
        <v>0</v>
      </c>
      <c r="W50" s="195"/>
      <c r="X50" s="196"/>
      <c r="Y50" s="197">
        <f>SUM(W50:X50)</f>
        <v>0</v>
      </c>
      <c r="Z50" s="195"/>
      <c r="AA50" s="196"/>
      <c r="AB50" s="197">
        <f>SUM(Z50:AA50)</f>
        <v>0</v>
      </c>
      <c r="AC50" s="195"/>
      <c r="AD50" s="196"/>
      <c r="AE50" s="197">
        <f>SUM(AC50:AD50)</f>
        <v>0</v>
      </c>
      <c r="AF50" s="214">
        <f>SUM(Y50,AB50,AE50)</f>
        <v>0</v>
      </c>
      <c r="AG50" s="195"/>
      <c r="AH50" s="196"/>
      <c r="AI50" s="197">
        <f>SUM(AG50:AH50)</f>
        <v>0</v>
      </c>
      <c r="AJ50" s="195"/>
      <c r="AK50" s="196"/>
      <c r="AL50" s="197">
        <f>SUM(AJ50:AK50)</f>
        <v>0</v>
      </c>
      <c r="AM50" s="195"/>
      <c r="AN50" s="196"/>
      <c r="AO50" s="197">
        <f>SUM(AM50:AN50)</f>
        <v>0</v>
      </c>
      <c r="AP50" s="214">
        <f>SUM(AI50,AL50,AO50)</f>
        <v>0</v>
      </c>
      <c r="AQ50" s="159">
        <f t="shared" si="41"/>
        <v>0</v>
      </c>
      <c r="AR50" s="159">
        <f t="shared" si="41"/>
        <v>0</v>
      </c>
      <c r="AS50" s="159">
        <f t="shared" si="17"/>
        <v>0</v>
      </c>
    </row>
    <row r="51" spans="2:45" ht="56.25" customHeight="1">
      <c r="B51" s="171" t="s">
        <v>430</v>
      </c>
      <c r="C51" s="171"/>
      <c r="D51" s="172"/>
      <c r="E51" s="172"/>
      <c r="F51" s="171"/>
      <c r="G51" s="172"/>
      <c r="H51" s="172"/>
      <c r="I51" s="171"/>
      <c r="J51" s="172"/>
      <c r="K51" s="172"/>
      <c r="L51" s="172"/>
      <c r="M51" s="171"/>
      <c r="N51" s="172"/>
      <c r="O51" s="172"/>
      <c r="P51" s="171"/>
      <c r="Q51" s="172"/>
      <c r="R51" s="172"/>
      <c r="S51" s="171"/>
      <c r="T51" s="172"/>
      <c r="U51" s="172"/>
      <c r="V51" s="172"/>
      <c r="W51" s="171"/>
      <c r="X51" s="172"/>
      <c r="Y51" s="172"/>
      <c r="Z51" s="171"/>
      <c r="AA51" s="172"/>
      <c r="AB51" s="172"/>
      <c r="AC51" s="171"/>
      <c r="AD51" s="172"/>
      <c r="AE51" s="172"/>
      <c r="AF51" s="172"/>
      <c r="AG51" s="171"/>
      <c r="AH51" s="172"/>
      <c r="AI51" s="172"/>
      <c r="AJ51" s="171"/>
      <c r="AK51" s="172"/>
      <c r="AL51" s="172"/>
      <c r="AM51" s="171"/>
      <c r="AN51" s="172"/>
      <c r="AO51" s="172"/>
      <c r="AP51" s="172"/>
      <c r="AQ51" s="172"/>
      <c r="AR51" s="172"/>
      <c r="AS51" s="173"/>
    </row>
    <row r="52" spans="1:45" ht="26.25">
      <c r="A52" s="11" t="s">
        <v>431</v>
      </c>
      <c r="B52" s="7" t="s">
        <v>432</v>
      </c>
      <c r="C52" s="204"/>
      <c r="D52" s="205"/>
      <c r="E52" s="206">
        <f>SUM(C52:D52)</f>
        <v>0</v>
      </c>
      <c r="F52" s="204"/>
      <c r="G52" s="205"/>
      <c r="H52" s="206">
        <f>SUM(F52:G52)</f>
        <v>0</v>
      </c>
      <c r="I52" s="204"/>
      <c r="J52" s="205"/>
      <c r="K52" s="206">
        <f>SUM(I52:J52)</f>
        <v>0</v>
      </c>
      <c r="L52" s="211">
        <f>SUM(E52,H52,K52)</f>
        <v>0</v>
      </c>
      <c r="M52" s="204"/>
      <c r="N52" s="205"/>
      <c r="O52" s="206">
        <f>SUM(M52:N52)</f>
        <v>0</v>
      </c>
      <c r="P52" s="204"/>
      <c r="Q52" s="205"/>
      <c r="R52" s="206">
        <f>SUM(P52:Q52)</f>
        <v>0</v>
      </c>
      <c r="S52" s="204"/>
      <c r="T52" s="205"/>
      <c r="U52" s="206">
        <f>SUM(S52:T52)</f>
        <v>0</v>
      </c>
      <c r="V52" s="211">
        <f>SUM(O52,R52,U52)</f>
        <v>0</v>
      </c>
      <c r="W52" s="204"/>
      <c r="X52" s="205"/>
      <c r="Y52" s="206">
        <f>SUM(W52:X52)</f>
        <v>0</v>
      </c>
      <c r="Z52" s="204"/>
      <c r="AA52" s="205"/>
      <c r="AB52" s="206">
        <f>SUM(Z52:AA52)</f>
        <v>0</v>
      </c>
      <c r="AC52" s="204"/>
      <c r="AD52" s="205"/>
      <c r="AE52" s="206">
        <f>SUM(AC52:AD52)</f>
        <v>0</v>
      </c>
      <c r="AF52" s="211">
        <f>SUM(Y52,AB52,AE52)</f>
        <v>0</v>
      </c>
      <c r="AG52" s="204"/>
      <c r="AH52" s="205"/>
      <c r="AI52" s="206">
        <f>SUM(AG52:AH52)</f>
        <v>0</v>
      </c>
      <c r="AJ52" s="204"/>
      <c r="AK52" s="205"/>
      <c r="AL52" s="206">
        <f>SUM(AJ52:AK52)</f>
        <v>0</v>
      </c>
      <c r="AM52" s="204"/>
      <c r="AN52" s="205"/>
      <c r="AO52" s="206">
        <f>SUM(AM52:AN52)</f>
        <v>0</v>
      </c>
      <c r="AP52" s="211">
        <f>SUM(AI52,AL52,AO52)</f>
        <v>0</v>
      </c>
      <c r="AQ52" s="15">
        <f>C52+F52+I52+M52+P52+S52+W52+Z52+AC52+AG52+AJ52+AM52</f>
        <v>0</v>
      </c>
      <c r="AR52" s="15">
        <f>D52+G52+J52+N52+Q52+T52+X52+AA52+AD52+AH52+AK52+AN52</f>
        <v>0</v>
      </c>
      <c r="AS52" s="15">
        <f t="shared" si="17"/>
        <v>0</v>
      </c>
    </row>
    <row r="53" spans="1:45" ht="26.25">
      <c r="A53" s="11" t="s">
        <v>433</v>
      </c>
      <c r="B53" s="174" t="s">
        <v>434</v>
      </c>
      <c r="C53" s="175">
        <f aca="true" t="shared" si="42" ref="C53:AS53">SUM(C52,C48:C50,C45:C46,C41:C43,C38:C39,C31:C36,C26:C29,C22:C24,C19:C20,C15:C17,C12)</f>
        <v>29611701</v>
      </c>
      <c r="D53" s="176">
        <f t="shared" si="42"/>
        <v>1651124</v>
      </c>
      <c r="E53" s="177">
        <f t="shared" si="42"/>
        <v>31262825</v>
      </c>
      <c r="F53" s="175">
        <f t="shared" si="42"/>
        <v>30318367</v>
      </c>
      <c r="G53" s="176">
        <f t="shared" si="42"/>
        <v>2272128</v>
      </c>
      <c r="H53" s="177">
        <f t="shared" si="42"/>
        <v>32590495</v>
      </c>
      <c r="I53" s="175">
        <f t="shared" si="42"/>
        <v>26843730</v>
      </c>
      <c r="J53" s="176">
        <f t="shared" si="42"/>
        <v>1238880</v>
      </c>
      <c r="K53" s="177">
        <f t="shared" si="42"/>
        <v>28082610</v>
      </c>
      <c r="L53" s="178">
        <f t="shared" si="42"/>
        <v>91935930</v>
      </c>
      <c r="M53" s="175">
        <f t="shared" si="42"/>
        <v>34028000</v>
      </c>
      <c r="N53" s="176">
        <f t="shared" si="42"/>
        <v>800000</v>
      </c>
      <c r="O53" s="177">
        <f t="shared" si="42"/>
        <v>34828000</v>
      </c>
      <c r="P53" s="175">
        <f t="shared" si="42"/>
        <v>30641000</v>
      </c>
      <c r="Q53" s="176">
        <f t="shared" si="42"/>
        <v>3600000</v>
      </c>
      <c r="R53" s="177">
        <f t="shared" si="42"/>
        <v>34241000</v>
      </c>
      <c r="S53" s="175">
        <f t="shared" si="42"/>
        <v>30191000</v>
      </c>
      <c r="T53" s="176">
        <f t="shared" si="42"/>
        <v>400000</v>
      </c>
      <c r="U53" s="177">
        <f t="shared" si="42"/>
        <v>30591000</v>
      </c>
      <c r="V53" s="178">
        <f t="shared" si="42"/>
        <v>99660000</v>
      </c>
      <c r="W53" s="175">
        <f t="shared" si="42"/>
        <v>30421000</v>
      </c>
      <c r="X53" s="176">
        <f t="shared" si="42"/>
        <v>6850000</v>
      </c>
      <c r="Y53" s="177">
        <f t="shared" si="42"/>
        <v>37271000</v>
      </c>
      <c r="Z53" s="175">
        <f t="shared" si="42"/>
        <v>29891000</v>
      </c>
      <c r="AA53" s="176">
        <f t="shared" si="42"/>
        <v>100000</v>
      </c>
      <c r="AB53" s="177">
        <f t="shared" si="42"/>
        <v>29991000</v>
      </c>
      <c r="AC53" s="175">
        <f t="shared" si="42"/>
        <v>30701002</v>
      </c>
      <c r="AD53" s="176">
        <f t="shared" si="42"/>
        <v>650000</v>
      </c>
      <c r="AE53" s="177">
        <f t="shared" si="42"/>
        <v>31351002</v>
      </c>
      <c r="AF53" s="178">
        <f t="shared" si="42"/>
        <v>98613002</v>
      </c>
      <c r="AG53" s="175">
        <f t="shared" si="42"/>
        <v>30341000</v>
      </c>
      <c r="AH53" s="176">
        <f t="shared" si="42"/>
        <v>0</v>
      </c>
      <c r="AI53" s="177">
        <f t="shared" si="42"/>
        <v>30341000</v>
      </c>
      <c r="AJ53" s="175">
        <f t="shared" si="42"/>
        <v>30281000</v>
      </c>
      <c r="AK53" s="176">
        <f t="shared" si="42"/>
        <v>450000</v>
      </c>
      <c r="AL53" s="177">
        <f t="shared" si="42"/>
        <v>30731000</v>
      </c>
      <c r="AM53" s="175">
        <f t="shared" si="42"/>
        <v>30091000</v>
      </c>
      <c r="AN53" s="176">
        <f t="shared" si="42"/>
        <v>19500000</v>
      </c>
      <c r="AO53" s="177">
        <f t="shared" si="42"/>
        <v>49591000</v>
      </c>
      <c r="AP53" s="178">
        <f t="shared" si="42"/>
        <v>110663000</v>
      </c>
      <c r="AQ53" s="178">
        <f t="shared" si="42"/>
        <v>363359800</v>
      </c>
      <c r="AR53" s="178">
        <f t="shared" si="42"/>
        <v>37512132</v>
      </c>
      <c r="AS53" s="178">
        <f t="shared" si="42"/>
        <v>400871932</v>
      </c>
    </row>
    <row r="54" spans="2:45" ht="46.5" customHeight="1">
      <c r="B54" s="171" t="s">
        <v>435</v>
      </c>
      <c r="C54" s="171"/>
      <c r="D54" s="172"/>
      <c r="E54" s="172"/>
      <c r="F54" s="171"/>
      <c r="G54" s="172"/>
      <c r="H54" s="172"/>
      <c r="I54" s="171"/>
      <c r="J54" s="172"/>
      <c r="K54" s="172"/>
      <c r="L54" s="172"/>
      <c r="M54" s="171"/>
      <c r="N54" s="172"/>
      <c r="O54" s="172"/>
      <c r="P54" s="171"/>
      <c r="Q54" s="172"/>
      <c r="R54" s="172"/>
      <c r="S54" s="171"/>
      <c r="T54" s="172"/>
      <c r="U54" s="172"/>
      <c r="V54" s="172"/>
      <c r="W54" s="171"/>
      <c r="X54" s="172"/>
      <c r="Y54" s="172"/>
      <c r="Z54" s="171"/>
      <c r="AA54" s="172"/>
      <c r="AB54" s="172"/>
      <c r="AC54" s="171"/>
      <c r="AD54" s="172"/>
      <c r="AE54" s="172"/>
      <c r="AF54" s="172"/>
      <c r="AG54" s="171"/>
      <c r="AH54" s="172"/>
      <c r="AI54" s="172"/>
      <c r="AJ54" s="171"/>
      <c r="AK54" s="172"/>
      <c r="AL54" s="172"/>
      <c r="AM54" s="171"/>
      <c r="AN54" s="172"/>
      <c r="AO54" s="172"/>
      <c r="AP54" s="172"/>
      <c r="AQ54" s="172"/>
      <c r="AR54" s="172"/>
      <c r="AS54" s="173"/>
    </row>
    <row r="55" spans="1:45" ht="26.25">
      <c r="A55" s="11" t="s">
        <v>436</v>
      </c>
      <c r="B55" s="165" t="s">
        <v>437</v>
      </c>
      <c r="C55" s="451">
        <f>2877123+2864782</f>
        <v>5741905</v>
      </c>
      <c r="D55" s="202">
        <f>1105145+779408</f>
        <v>1884553</v>
      </c>
      <c r="E55" s="203">
        <f aca="true" t="shared" si="43" ref="E55:E70">SUM(C55:D55)</f>
        <v>7626458</v>
      </c>
      <c r="F55" s="201">
        <f>2931717+2927930</f>
        <v>5859647</v>
      </c>
      <c r="G55" s="202">
        <f>1089814+695377</f>
        <v>1785191</v>
      </c>
      <c r="H55" s="203">
        <f aca="true" t="shared" si="44" ref="H55:H70">SUM(F55:G55)</f>
        <v>7644838</v>
      </c>
      <c r="I55" s="201">
        <f>3137086+3131625</f>
        <v>6268711</v>
      </c>
      <c r="J55" s="202">
        <f>1187462+808609</f>
        <v>1996071</v>
      </c>
      <c r="K55" s="203">
        <f aca="true" t="shared" si="45" ref="K55:K70">SUM(I55:J55)</f>
        <v>8264782</v>
      </c>
      <c r="L55" s="215">
        <f aca="true" t="shared" si="46" ref="L55:L70">SUM(E55,H55,K55)</f>
        <v>23536078</v>
      </c>
      <c r="M55" s="201">
        <v>6800000</v>
      </c>
      <c r="N55" s="202">
        <v>1500000</v>
      </c>
      <c r="O55" s="203">
        <f aca="true" t="shared" si="47" ref="O55:O70">SUM(M55:N55)</f>
        <v>8300000</v>
      </c>
      <c r="P55" s="201">
        <v>8300000</v>
      </c>
      <c r="Q55" s="202"/>
      <c r="R55" s="203">
        <f aca="true" t="shared" si="48" ref="R55:R70">SUM(P55:Q55)</f>
        <v>8300000</v>
      </c>
      <c r="S55" s="201">
        <v>8300000</v>
      </c>
      <c r="T55" s="202"/>
      <c r="U55" s="203">
        <f aca="true" t="shared" si="49" ref="U55:U70">SUM(S55:T55)</f>
        <v>8300000</v>
      </c>
      <c r="V55" s="215">
        <f aca="true" t="shared" si="50" ref="V55:V70">SUM(O55,R55,U55)</f>
        <v>24900000</v>
      </c>
      <c r="W55" s="201">
        <v>8300000</v>
      </c>
      <c r="X55" s="202"/>
      <c r="Y55" s="203">
        <f aca="true" t="shared" si="51" ref="Y55:Y70">SUM(W55:X55)</f>
        <v>8300000</v>
      </c>
      <c r="Z55" s="201">
        <v>8300000</v>
      </c>
      <c r="AA55" s="202"/>
      <c r="AB55" s="203">
        <f aca="true" t="shared" si="52" ref="AB55:AB70">SUM(Z55:AA55)</f>
        <v>8300000</v>
      </c>
      <c r="AC55" s="201">
        <v>8300000</v>
      </c>
      <c r="AD55" s="202"/>
      <c r="AE55" s="203">
        <f aca="true" t="shared" si="53" ref="AE55:AE70">SUM(AC55:AD55)</f>
        <v>8300000</v>
      </c>
      <c r="AF55" s="215">
        <f aca="true" t="shared" si="54" ref="AF55:AF70">SUM(Y55,AB55,AE55)</f>
        <v>24900000</v>
      </c>
      <c r="AG55" s="201">
        <v>8300000</v>
      </c>
      <c r="AH55" s="202"/>
      <c r="AI55" s="203">
        <f aca="true" t="shared" si="55" ref="AI55:AI70">SUM(AG55:AH55)</f>
        <v>8300000</v>
      </c>
      <c r="AJ55" s="201">
        <v>8300000</v>
      </c>
      <c r="AK55" s="202"/>
      <c r="AL55" s="203">
        <f aca="true" t="shared" si="56" ref="AL55:AL70">SUM(AJ55:AK55)</f>
        <v>8300000</v>
      </c>
      <c r="AM55" s="201">
        <v>15000000</v>
      </c>
      <c r="AN55" s="202"/>
      <c r="AO55" s="203">
        <f aca="true" t="shared" si="57" ref="AO55:AO70">SUM(AM55:AN55)</f>
        <v>15000000</v>
      </c>
      <c r="AP55" s="215">
        <f aca="true" t="shared" si="58" ref="AP55:AP70">SUM(AI55,AL55,AO55)</f>
        <v>31600000</v>
      </c>
      <c r="AQ55" s="142">
        <f aca="true" t="shared" si="59" ref="AQ55:AR70">C55+F55+I55+M55+P55+S55+W55+Z55+AC55+AG55+AJ55+AM55</f>
        <v>97770263</v>
      </c>
      <c r="AR55" s="142">
        <f t="shared" si="59"/>
        <v>7165815</v>
      </c>
      <c r="AS55" s="142">
        <f t="shared" si="17"/>
        <v>104936078</v>
      </c>
    </row>
    <row r="56" spans="1:45" ht="26.25">
      <c r="A56" s="11" t="s">
        <v>438</v>
      </c>
      <c r="B56" s="155" t="s">
        <v>439</v>
      </c>
      <c r="C56" s="192">
        <f>36107+81072+8277</f>
        <v>125456</v>
      </c>
      <c r="D56" s="193">
        <f>464258+58941+232877</f>
        <v>756076</v>
      </c>
      <c r="E56" s="194">
        <f t="shared" si="43"/>
        <v>881532</v>
      </c>
      <c r="F56" s="192">
        <f>288511+29397+215304</f>
        <v>533212</v>
      </c>
      <c r="G56" s="193">
        <f>360242+470446+72668</f>
        <v>903356</v>
      </c>
      <c r="H56" s="194">
        <f t="shared" si="44"/>
        <v>1436568</v>
      </c>
      <c r="I56" s="201">
        <f>528087+820968+31218+258866</f>
        <v>1639139</v>
      </c>
      <c r="J56" s="202">
        <f>113612+69677</f>
        <v>183289</v>
      </c>
      <c r="K56" s="194">
        <f t="shared" si="45"/>
        <v>1822428</v>
      </c>
      <c r="L56" s="212">
        <f t="shared" si="46"/>
        <v>4140528</v>
      </c>
      <c r="M56" s="192">
        <v>766000</v>
      </c>
      <c r="N56" s="193">
        <v>615000</v>
      </c>
      <c r="O56" s="194">
        <f t="shared" si="47"/>
        <v>1381000</v>
      </c>
      <c r="P56" s="192">
        <v>766000</v>
      </c>
      <c r="Q56" s="193">
        <v>615000</v>
      </c>
      <c r="R56" s="194">
        <f t="shared" si="48"/>
        <v>1381000</v>
      </c>
      <c r="S56" s="192">
        <v>766000</v>
      </c>
      <c r="T56" s="193">
        <v>615000</v>
      </c>
      <c r="U56" s="194">
        <f t="shared" si="49"/>
        <v>1381000</v>
      </c>
      <c r="V56" s="212">
        <f t="shared" si="50"/>
        <v>4143000</v>
      </c>
      <c r="W56" s="192">
        <v>766000</v>
      </c>
      <c r="X56" s="193">
        <v>615000</v>
      </c>
      <c r="Y56" s="194">
        <f t="shared" si="51"/>
        <v>1381000</v>
      </c>
      <c r="Z56" s="192">
        <v>766000</v>
      </c>
      <c r="AA56" s="193">
        <v>615000</v>
      </c>
      <c r="AB56" s="194">
        <f t="shared" si="52"/>
        <v>1381000</v>
      </c>
      <c r="AC56" s="192">
        <v>766000</v>
      </c>
      <c r="AD56" s="193">
        <v>615000</v>
      </c>
      <c r="AE56" s="194">
        <f t="shared" si="53"/>
        <v>1381000</v>
      </c>
      <c r="AF56" s="212">
        <f t="shared" si="54"/>
        <v>4143000</v>
      </c>
      <c r="AG56" s="192">
        <v>766000</v>
      </c>
      <c r="AH56" s="193">
        <v>615000</v>
      </c>
      <c r="AI56" s="194">
        <f t="shared" si="55"/>
        <v>1381000</v>
      </c>
      <c r="AJ56" s="192">
        <v>766000</v>
      </c>
      <c r="AK56" s="193">
        <v>615000</v>
      </c>
      <c r="AL56" s="194">
        <f t="shared" si="56"/>
        <v>1381000</v>
      </c>
      <c r="AM56" s="192">
        <v>3000000</v>
      </c>
      <c r="AN56" s="193">
        <v>3000</v>
      </c>
      <c r="AO56" s="194">
        <f t="shared" si="57"/>
        <v>3003000</v>
      </c>
      <c r="AP56" s="212">
        <f t="shared" si="58"/>
        <v>5765000</v>
      </c>
      <c r="AQ56" s="146">
        <f t="shared" si="59"/>
        <v>11425807</v>
      </c>
      <c r="AR56" s="146">
        <f t="shared" si="59"/>
        <v>6765721</v>
      </c>
      <c r="AS56" s="146">
        <f t="shared" si="17"/>
        <v>18191528</v>
      </c>
    </row>
    <row r="57" spans="1:45" ht="26.25">
      <c r="A57" s="11" t="s">
        <v>440</v>
      </c>
      <c r="B57" s="156" t="s">
        <v>441</v>
      </c>
      <c r="C57" s="195">
        <f>50990</f>
        <v>50990</v>
      </c>
      <c r="D57" s="196">
        <v>148811</v>
      </c>
      <c r="E57" s="197">
        <f t="shared" si="43"/>
        <v>199801</v>
      </c>
      <c r="F57" s="195">
        <f>4114094+3931005</f>
        <v>8045099</v>
      </c>
      <c r="G57" s="196">
        <v>131974</v>
      </c>
      <c r="H57" s="197">
        <f t="shared" si="44"/>
        <v>8177073</v>
      </c>
      <c r="I57" s="201">
        <f>4168608+3896437</f>
        <v>8065045</v>
      </c>
      <c r="J57" s="202">
        <v>160454</v>
      </c>
      <c r="K57" s="197">
        <f t="shared" si="45"/>
        <v>8225499</v>
      </c>
      <c r="L57" s="213">
        <f t="shared" si="46"/>
        <v>16602373</v>
      </c>
      <c r="M57" s="195">
        <v>8000000</v>
      </c>
      <c r="N57" s="196">
        <v>200000</v>
      </c>
      <c r="O57" s="197">
        <f t="shared" si="47"/>
        <v>8200000</v>
      </c>
      <c r="P57" s="195">
        <v>8000000</v>
      </c>
      <c r="Q57" s="196">
        <v>200000</v>
      </c>
      <c r="R57" s="197">
        <f t="shared" si="48"/>
        <v>8200000</v>
      </c>
      <c r="S57" s="195">
        <v>8000000</v>
      </c>
      <c r="T57" s="196">
        <v>200000</v>
      </c>
      <c r="U57" s="197">
        <f t="shared" si="49"/>
        <v>8200000</v>
      </c>
      <c r="V57" s="213">
        <f t="shared" si="50"/>
        <v>24600000</v>
      </c>
      <c r="W57" s="195">
        <v>8000000</v>
      </c>
      <c r="X57" s="196">
        <v>200000</v>
      </c>
      <c r="Y57" s="197">
        <f t="shared" si="51"/>
        <v>8200000</v>
      </c>
      <c r="Z57" s="195">
        <v>8000000</v>
      </c>
      <c r="AA57" s="196">
        <v>200000</v>
      </c>
      <c r="AB57" s="197">
        <f t="shared" si="52"/>
        <v>8200000</v>
      </c>
      <c r="AC57" s="195">
        <v>8000000</v>
      </c>
      <c r="AD57" s="196">
        <v>200000</v>
      </c>
      <c r="AE57" s="197">
        <f t="shared" si="53"/>
        <v>8200000</v>
      </c>
      <c r="AF57" s="213">
        <f t="shared" si="54"/>
        <v>24600000</v>
      </c>
      <c r="AG57" s="195">
        <v>8000000</v>
      </c>
      <c r="AH57" s="196">
        <v>200000</v>
      </c>
      <c r="AI57" s="197">
        <f t="shared" si="55"/>
        <v>8200000</v>
      </c>
      <c r="AJ57" s="195">
        <v>8000000</v>
      </c>
      <c r="AK57" s="196">
        <v>200000</v>
      </c>
      <c r="AL57" s="197">
        <f t="shared" si="56"/>
        <v>8200000</v>
      </c>
      <c r="AM57" s="195">
        <v>22000000</v>
      </c>
      <c r="AN57" s="196">
        <v>200000</v>
      </c>
      <c r="AO57" s="197">
        <f t="shared" si="57"/>
        <v>22200000</v>
      </c>
      <c r="AP57" s="213">
        <f t="shared" si="58"/>
        <v>38600000</v>
      </c>
      <c r="AQ57" s="144">
        <f t="shared" si="59"/>
        <v>102161134</v>
      </c>
      <c r="AR57" s="144">
        <f t="shared" si="59"/>
        <v>2241239</v>
      </c>
      <c r="AS57" s="144">
        <f t="shared" si="17"/>
        <v>104402373</v>
      </c>
    </row>
    <row r="58" spans="1:45" ht="26.25">
      <c r="A58" s="11" t="s">
        <v>442</v>
      </c>
      <c r="B58" s="48" t="s">
        <v>443</v>
      </c>
      <c r="C58" s="201"/>
      <c r="D58" s="202"/>
      <c r="E58" s="209">
        <f t="shared" si="43"/>
        <v>0</v>
      </c>
      <c r="F58" s="207"/>
      <c r="G58" s="208"/>
      <c r="H58" s="209">
        <f t="shared" si="44"/>
        <v>0</v>
      </c>
      <c r="I58" s="201"/>
      <c r="J58" s="202"/>
      <c r="K58" s="209">
        <f t="shared" si="45"/>
        <v>0</v>
      </c>
      <c r="L58" s="216">
        <f t="shared" si="46"/>
        <v>0</v>
      </c>
      <c r="M58" s="207">
        <v>0</v>
      </c>
      <c r="N58" s="208">
        <v>0</v>
      </c>
      <c r="O58" s="209">
        <f t="shared" si="47"/>
        <v>0</v>
      </c>
      <c r="P58" s="207">
        <v>0</v>
      </c>
      <c r="Q58" s="208">
        <v>0</v>
      </c>
      <c r="R58" s="209">
        <f t="shared" si="48"/>
        <v>0</v>
      </c>
      <c r="S58" s="207">
        <v>0</v>
      </c>
      <c r="T58" s="208">
        <v>0</v>
      </c>
      <c r="U58" s="209">
        <f t="shared" si="49"/>
        <v>0</v>
      </c>
      <c r="V58" s="216">
        <f t="shared" si="50"/>
        <v>0</v>
      </c>
      <c r="W58" s="207">
        <v>0</v>
      </c>
      <c r="X58" s="208">
        <v>0</v>
      </c>
      <c r="Y58" s="209">
        <f t="shared" si="51"/>
        <v>0</v>
      </c>
      <c r="Z58" s="207">
        <v>0</v>
      </c>
      <c r="AA58" s="208">
        <v>0</v>
      </c>
      <c r="AB58" s="209">
        <f t="shared" si="52"/>
        <v>0</v>
      </c>
      <c r="AC58" s="207">
        <v>0</v>
      </c>
      <c r="AD58" s="208">
        <v>0</v>
      </c>
      <c r="AE58" s="209">
        <f t="shared" si="53"/>
        <v>0</v>
      </c>
      <c r="AF58" s="216">
        <f t="shared" si="54"/>
        <v>0</v>
      </c>
      <c r="AG58" s="207">
        <v>0</v>
      </c>
      <c r="AH58" s="208">
        <v>0</v>
      </c>
      <c r="AI58" s="209">
        <f t="shared" si="55"/>
        <v>0</v>
      </c>
      <c r="AJ58" s="207">
        <v>0</v>
      </c>
      <c r="AK58" s="208">
        <v>0</v>
      </c>
      <c r="AL58" s="209">
        <f t="shared" si="56"/>
        <v>0</v>
      </c>
      <c r="AM58" s="207">
        <v>0</v>
      </c>
      <c r="AN58" s="208">
        <v>0</v>
      </c>
      <c r="AO58" s="209">
        <f t="shared" si="57"/>
        <v>0</v>
      </c>
      <c r="AP58" s="216">
        <f t="shared" si="58"/>
        <v>0</v>
      </c>
      <c r="AQ58" s="14">
        <f t="shared" si="59"/>
        <v>0</v>
      </c>
      <c r="AR58" s="14">
        <f t="shared" si="59"/>
        <v>0</v>
      </c>
      <c r="AS58" s="14">
        <f t="shared" si="17"/>
        <v>0</v>
      </c>
    </row>
    <row r="59" spans="1:45" ht="26.25">
      <c r="A59" s="11" t="s">
        <v>444</v>
      </c>
      <c r="B59" s="48" t="s">
        <v>445</v>
      </c>
      <c r="C59" s="207"/>
      <c r="D59" s="208"/>
      <c r="E59" s="209">
        <f t="shared" si="43"/>
        <v>0</v>
      </c>
      <c r="F59" s="207"/>
      <c r="G59" s="208"/>
      <c r="H59" s="209">
        <f t="shared" si="44"/>
        <v>0</v>
      </c>
      <c r="I59" s="207"/>
      <c r="J59" s="208"/>
      <c r="K59" s="209">
        <f t="shared" si="45"/>
        <v>0</v>
      </c>
      <c r="L59" s="216">
        <f t="shared" si="46"/>
        <v>0</v>
      </c>
      <c r="M59" s="207">
        <v>0</v>
      </c>
      <c r="N59" s="208">
        <v>0</v>
      </c>
      <c r="O59" s="209">
        <f t="shared" si="47"/>
        <v>0</v>
      </c>
      <c r="P59" s="207">
        <v>0</v>
      </c>
      <c r="Q59" s="208">
        <v>0</v>
      </c>
      <c r="R59" s="209">
        <f t="shared" si="48"/>
        <v>0</v>
      </c>
      <c r="S59" s="207">
        <v>0</v>
      </c>
      <c r="T59" s="208">
        <v>0</v>
      </c>
      <c r="U59" s="209">
        <f t="shared" si="49"/>
        <v>0</v>
      </c>
      <c r="V59" s="216">
        <f t="shared" si="50"/>
        <v>0</v>
      </c>
      <c r="W59" s="207">
        <v>0</v>
      </c>
      <c r="X59" s="208">
        <v>0</v>
      </c>
      <c r="Y59" s="209">
        <f t="shared" si="51"/>
        <v>0</v>
      </c>
      <c r="Z59" s="207">
        <v>0</v>
      </c>
      <c r="AA59" s="208">
        <v>0</v>
      </c>
      <c r="AB59" s="209">
        <f t="shared" si="52"/>
        <v>0</v>
      </c>
      <c r="AC59" s="207">
        <v>0</v>
      </c>
      <c r="AD59" s="208">
        <v>0</v>
      </c>
      <c r="AE59" s="209">
        <f t="shared" si="53"/>
        <v>0</v>
      </c>
      <c r="AF59" s="216">
        <f t="shared" si="54"/>
        <v>0</v>
      </c>
      <c r="AG59" s="207">
        <v>0</v>
      </c>
      <c r="AH59" s="208">
        <v>0</v>
      </c>
      <c r="AI59" s="209">
        <f t="shared" si="55"/>
        <v>0</v>
      </c>
      <c r="AJ59" s="207">
        <v>0</v>
      </c>
      <c r="AK59" s="208">
        <v>0</v>
      </c>
      <c r="AL59" s="209">
        <f t="shared" si="56"/>
        <v>0</v>
      </c>
      <c r="AM59" s="207">
        <v>0</v>
      </c>
      <c r="AN59" s="208">
        <v>0</v>
      </c>
      <c r="AO59" s="209">
        <f t="shared" si="57"/>
        <v>0</v>
      </c>
      <c r="AP59" s="216">
        <f t="shared" si="58"/>
        <v>0</v>
      </c>
      <c r="AQ59" s="14">
        <f t="shared" si="59"/>
        <v>0</v>
      </c>
      <c r="AR59" s="14">
        <f t="shared" si="59"/>
        <v>0</v>
      </c>
      <c r="AS59" s="14">
        <f t="shared" si="17"/>
        <v>0</v>
      </c>
    </row>
    <row r="60" spans="1:45" ht="26.25">
      <c r="A60" s="11" t="s">
        <v>446</v>
      </c>
      <c r="B60" s="48" t="s">
        <v>447</v>
      </c>
      <c r="C60" s="207"/>
      <c r="D60" s="208"/>
      <c r="E60" s="209">
        <f>SUM(C60:D60)</f>
        <v>0</v>
      </c>
      <c r="F60" s="207"/>
      <c r="G60" s="208"/>
      <c r="H60" s="209">
        <f>SUM(F60:G60)</f>
        <v>0</v>
      </c>
      <c r="I60" s="207"/>
      <c r="J60" s="208"/>
      <c r="K60" s="209">
        <f>SUM(I60:J60)</f>
        <v>0</v>
      </c>
      <c r="L60" s="216">
        <f>SUM(E60,H60,K60)</f>
        <v>0</v>
      </c>
      <c r="M60" s="207">
        <v>0</v>
      </c>
      <c r="N60" s="208">
        <v>0</v>
      </c>
      <c r="O60" s="209">
        <f>SUM(M60:N60)</f>
        <v>0</v>
      </c>
      <c r="P60" s="207">
        <v>0</v>
      </c>
      <c r="Q60" s="208">
        <v>0</v>
      </c>
      <c r="R60" s="209">
        <f>SUM(P60:Q60)</f>
        <v>0</v>
      </c>
      <c r="S60" s="207">
        <v>0</v>
      </c>
      <c r="T60" s="208">
        <v>0</v>
      </c>
      <c r="U60" s="209">
        <f>SUM(S60:T60)</f>
        <v>0</v>
      </c>
      <c r="V60" s="216">
        <f>SUM(O60,R60,U60)</f>
        <v>0</v>
      </c>
      <c r="W60" s="207">
        <v>0</v>
      </c>
      <c r="X60" s="208">
        <v>0</v>
      </c>
      <c r="Y60" s="209">
        <f>SUM(W60:X60)</f>
        <v>0</v>
      </c>
      <c r="Z60" s="207">
        <v>0</v>
      </c>
      <c r="AA60" s="208">
        <v>0</v>
      </c>
      <c r="AB60" s="209">
        <f>SUM(Z60:AA60)</f>
        <v>0</v>
      </c>
      <c r="AC60" s="207">
        <v>0</v>
      </c>
      <c r="AD60" s="208">
        <v>0</v>
      </c>
      <c r="AE60" s="209">
        <f>SUM(AC60:AD60)</f>
        <v>0</v>
      </c>
      <c r="AF60" s="216">
        <f>SUM(Y60,AB60,AE60)</f>
        <v>0</v>
      </c>
      <c r="AG60" s="207">
        <v>0</v>
      </c>
      <c r="AH60" s="208">
        <v>0</v>
      </c>
      <c r="AI60" s="209">
        <f>SUM(AG60:AH60)</f>
        <v>0</v>
      </c>
      <c r="AJ60" s="207">
        <v>0</v>
      </c>
      <c r="AK60" s="208">
        <v>0</v>
      </c>
      <c r="AL60" s="209">
        <f>SUM(AJ60:AK60)</f>
        <v>0</v>
      </c>
      <c r="AM60" s="207">
        <v>0</v>
      </c>
      <c r="AN60" s="208">
        <v>0</v>
      </c>
      <c r="AO60" s="209">
        <f>SUM(AM60:AN60)</f>
        <v>0</v>
      </c>
      <c r="AP60" s="216">
        <f>SUM(AI60,AL60,AO60)</f>
        <v>0</v>
      </c>
      <c r="AQ60" s="14">
        <f>C60+F60+I60+M60+P60+S60+W60+Z60+AC60+AG60+AJ60+AM60</f>
        <v>0</v>
      </c>
      <c r="AR60" s="14">
        <f>D60+G60+J60+N60+Q60+T60+X60+AA60+AD60+AH60+AK60+AN60</f>
        <v>0</v>
      </c>
      <c r="AS60" s="14">
        <f>SUM(AQ60:AR60)</f>
        <v>0</v>
      </c>
    </row>
    <row r="61" spans="1:45" ht="52.5">
      <c r="A61" s="11" t="s">
        <v>448</v>
      </c>
      <c r="B61" s="218" t="s">
        <v>449</v>
      </c>
      <c r="C61" s="201">
        <f>463020+114888+201103</f>
        <v>779011</v>
      </c>
      <c r="D61" s="202">
        <f>118634+50702</f>
        <v>169336</v>
      </c>
      <c r="E61" s="203">
        <f t="shared" si="43"/>
        <v>948347</v>
      </c>
      <c r="F61" s="201">
        <f>1043812+160356+100884</f>
        <v>1305052</v>
      </c>
      <c r="G61" s="201">
        <f>76515+39956</f>
        <v>116471</v>
      </c>
      <c r="H61" s="203">
        <f t="shared" si="44"/>
        <v>1421523</v>
      </c>
      <c r="I61" s="201">
        <f>1110663+6920+127132+18197</f>
        <v>1262912</v>
      </c>
      <c r="J61" s="202">
        <f>197366+69655+24638</f>
        <v>291659</v>
      </c>
      <c r="K61" s="203">
        <f t="shared" si="45"/>
        <v>1554571</v>
      </c>
      <c r="L61" s="217">
        <f t="shared" si="46"/>
        <v>3924441</v>
      </c>
      <c r="M61" s="201">
        <v>1300000</v>
      </c>
      <c r="N61" s="202">
        <v>193000</v>
      </c>
      <c r="O61" s="203">
        <f t="shared" si="47"/>
        <v>1493000</v>
      </c>
      <c r="P61" s="201">
        <v>1300000</v>
      </c>
      <c r="Q61" s="202">
        <v>193000</v>
      </c>
      <c r="R61" s="203">
        <f t="shared" si="48"/>
        <v>1493000</v>
      </c>
      <c r="S61" s="201">
        <v>1300000</v>
      </c>
      <c r="T61" s="202">
        <v>193000</v>
      </c>
      <c r="U61" s="203">
        <f t="shared" si="49"/>
        <v>1493000</v>
      </c>
      <c r="V61" s="217">
        <f t="shared" si="50"/>
        <v>4479000</v>
      </c>
      <c r="W61" s="201">
        <v>1300000</v>
      </c>
      <c r="X61" s="202">
        <v>193000</v>
      </c>
      <c r="Y61" s="203">
        <f t="shared" si="51"/>
        <v>1493000</v>
      </c>
      <c r="Z61" s="201">
        <v>1300000</v>
      </c>
      <c r="AA61" s="202">
        <v>193000</v>
      </c>
      <c r="AB61" s="203">
        <f t="shared" si="52"/>
        <v>1493000</v>
      </c>
      <c r="AC61" s="201">
        <v>1400000</v>
      </c>
      <c r="AD61" s="202"/>
      <c r="AE61" s="203">
        <f t="shared" si="53"/>
        <v>1400000</v>
      </c>
      <c r="AF61" s="217">
        <f t="shared" si="54"/>
        <v>4386000</v>
      </c>
      <c r="AG61" s="201">
        <v>1400000</v>
      </c>
      <c r="AH61" s="202"/>
      <c r="AI61" s="203">
        <f t="shared" si="55"/>
        <v>1400000</v>
      </c>
      <c r="AJ61" s="201">
        <v>1400000</v>
      </c>
      <c r="AK61" s="202"/>
      <c r="AL61" s="203">
        <f t="shared" si="56"/>
        <v>1400000</v>
      </c>
      <c r="AM61" s="201">
        <v>2500000</v>
      </c>
      <c r="AN61" s="202"/>
      <c r="AO61" s="203">
        <f t="shared" si="57"/>
        <v>2500000</v>
      </c>
      <c r="AP61" s="217">
        <f t="shared" si="58"/>
        <v>5300000</v>
      </c>
      <c r="AQ61" s="167">
        <f t="shared" si="59"/>
        <v>16546975</v>
      </c>
      <c r="AR61" s="167">
        <f t="shared" si="59"/>
        <v>1542466</v>
      </c>
      <c r="AS61" s="167">
        <f t="shared" si="17"/>
        <v>18089441</v>
      </c>
    </row>
    <row r="62" spans="1:45" ht="26.25">
      <c r="A62" s="11" t="s">
        <v>450</v>
      </c>
      <c r="B62" s="153" t="s">
        <v>451</v>
      </c>
      <c r="C62" s="192">
        <f>132389+675054+19409+108782+60181+24299+76348</f>
        <v>1096462</v>
      </c>
      <c r="D62" s="193">
        <f>103584+1099892+6005254+3933047+19711-150120</f>
        <v>11011368</v>
      </c>
      <c r="E62" s="194">
        <f t="shared" si="43"/>
        <v>12107830</v>
      </c>
      <c r="F62" s="192">
        <f>255745+2329418+51284+131616+1514689+5034+261333-362239</f>
        <v>4186880</v>
      </c>
      <c r="G62" s="193">
        <f>405975+1198403+716839+2836915+1617-362239</f>
        <v>4797510</v>
      </c>
      <c r="H62" s="194">
        <f t="shared" si="44"/>
        <v>8984390</v>
      </c>
      <c r="I62" s="192">
        <f>231203+4736575+48901+136522+2972856+14218+60026</f>
        <v>8200301</v>
      </c>
      <c r="J62" s="193">
        <f>303209+1753823+239079+1867990+8845-447754</f>
        <v>3725192</v>
      </c>
      <c r="K62" s="194">
        <f t="shared" si="45"/>
        <v>11925493</v>
      </c>
      <c r="L62" s="212">
        <f t="shared" si="46"/>
        <v>33017713</v>
      </c>
      <c r="M62" s="192">
        <v>8500000</v>
      </c>
      <c r="N62" s="193">
        <v>4000000</v>
      </c>
      <c r="O62" s="194">
        <f t="shared" si="47"/>
        <v>12500000</v>
      </c>
      <c r="P62" s="192">
        <v>8500000</v>
      </c>
      <c r="Q62" s="193">
        <v>3000000</v>
      </c>
      <c r="R62" s="194">
        <f t="shared" si="48"/>
        <v>11500000</v>
      </c>
      <c r="S62" s="192">
        <v>8500000</v>
      </c>
      <c r="T62" s="193">
        <v>4000000</v>
      </c>
      <c r="U62" s="194">
        <f t="shared" si="49"/>
        <v>12500000</v>
      </c>
      <c r="V62" s="212">
        <f t="shared" si="50"/>
        <v>36500000</v>
      </c>
      <c r="W62" s="192">
        <v>7500000</v>
      </c>
      <c r="X62" s="193">
        <v>5000000</v>
      </c>
      <c r="Y62" s="194">
        <f t="shared" si="51"/>
        <v>12500000</v>
      </c>
      <c r="Z62" s="192">
        <v>7500000</v>
      </c>
      <c r="AA62" s="193">
        <v>3000000</v>
      </c>
      <c r="AB62" s="194">
        <f t="shared" si="52"/>
        <v>10500000</v>
      </c>
      <c r="AC62" s="192">
        <v>8500000</v>
      </c>
      <c r="AD62" s="193">
        <v>2500000</v>
      </c>
      <c r="AE62" s="194">
        <f t="shared" si="53"/>
        <v>11000000</v>
      </c>
      <c r="AF62" s="212">
        <f t="shared" si="54"/>
        <v>34000000</v>
      </c>
      <c r="AG62" s="192">
        <v>8500000</v>
      </c>
      <c r="AH62" s="193">
        <v>1500000</v>
      </c>
      <c r="AI62" s="194">
        <f t="shared" si="55"/>
        <v>10000000</v>
      </c>
      <c r="AJ62" s="192">
        <v>8500000</v>
      </c>
      <c r="AK62" s="193">
        <v>1000000</v>
      </c>
      <c r="AL62" s="194">
        <f t="shared" si="56"/>
        <v>9500000</v>
      </c>
      <c r="AM62" s="192">
        <v>8500000</v>
      </c>
      <c r="AN62" s="193">
        <v>500000</v>
      </c>
      <c r="AO62" s="194">
        <f t="shared" si="57"/>
        <v>9000000</v>
      </c>
      <c r="AP62" s="212">
        <f t="shared" si="58"/>
        <v>28500000</v>
      </c>
      <c r="AQ62" s="146">
        <f t="shared" si="59"/>
        <v>87983643</v>
      </c>
      <c r="AR62" s="146">
        <f t="shared" si="59"/>
        <v>44034070</v>
      </c>
      <c r="AS62" s="146">
        <f t="shared" si="17"/>
        <v>132017713</v>
      </c>
    </row>
    <row r="63" spans="1:45" ht="26.25">
      <c r="A63" s="11" t="s">
        <v>452</v>
      </c>
      <c r="B63" s="153" t="s">
        <v>453</v>
      </c>
      <c r="C63" s="192"/>
      <c r="D63" s="193"/>
      <c r="E63" s="194">
        <f t="shared" si="43"/>
        <v>0</v>
      </c>
      <c r="F63" s="470">
        <f>1847830-1026171-5901-606311-16815</f>
        <v>192632</v>
      </c>
      <c r="G63" s="193">
        <f>1026171+606311</f>
        <v>1632482</v>
      </c>
      <c r="H63" s="194">
        <f t="shared" si="44"/>
        <v>1825114</v>
      </c>
      <c r="I63" s="470">
        <f>1172030-346720-7324</f>
        <v>817986</v>
      </c>
      <c r="J63" s="193">
        <f>346720</f>
        <v>346720</v>
      </c>
      <c r="K63" s="194">
        <f t="shared" si="45"/>
        <v>1164706</v>
      </c>
      <c r="L63" s="212">
        <f t="shared" si="46"/>
        <v>2989820</v>
      </c>
      <c r="M63" s="192">
        <v>337000</v>
      </c>
      <c r="N63" s="193">
        <v>660000</v>
      </c>
      <c r="O63" s="194">
        <f t="shared" si="47"/>
        <v>997000</v>
      </c>
      <c r="P63" s="192">
        <v>337000</v>
      </c>
      <c r="Q63" s="193">
        <v>660000</v>
      </c>
      <c r="R63" s="194">
        <f t="shared" si="48"/>
        <v>997000</v>
      </c>
      <c r="S63" s="192">
        <v>337000</v>
      </c>
      <c r="T63" s="193">
        <v>660000</v>
      </c>
      <c r="U63" s="194">
        <f t="shared" si="49"/>
        <v>997000</v>
      </c>
      <c r="V63" s="212">
        <f t="shared" si="50"/>
        <v>2991000</v>
      </c>
      <c r="W63" s="192">
        <v>337000</v>
      </c>
      <c r="X63" s="193">
        <v>660000</v>
      </c>
      <c r="Y63" s="194">
        <f t="shared" si="51"/>
        <v>997000</v>
      </c>
      <c r="Z63" s="192">
        <v>337000</v>
      </c>
      <c r="AA63" s="193">
        <v>660000</v>
      </c>
      <c r="AB63" s="194">
        <f t="shared" si="52"/>
        <v>997000</v>
      </c>
      <c r="AC63" s="192">
        <v>337000</v>
      </c>
      <c r="AD63" s="193">
        <v>660000</v>
      </c>
      <c r="AE63" s="194">
        <f t="shared" si="53"/>
        <v>997000</v>
      </c>
      <c r="AF63" s="212">
        <f t="shared" si="54"/>
        <v>2991000</v>
      </c>
      <c r="AG63" s="192">
        <v>337000</v>
      </c>
      <c r="AH63" s="193">
        <v>660000</v>
      </c>
      <c r="AI63" s="194">
        <f t="shared" si="55"/>
        <v>997000</v>
      </c>
      <c r="AJ63" s="192">
        <v>337000</v>
      </c>
      <c r="AK63" s="193">
        <v>660000</v>
      </c>
      <c r="AL63" s="194">
        <f t="shared" si="56"/>
        <v>997000</v>
      </c>
      <c r="AM63" s="192">
        <v>2500000</v>
      </c>
      <c r="AN63" s="193">
        <v>200000</v>
      </c>
      <c r="AO63" s="194">
        <f t="shared" si="57"/>
        <v>2700000</v>
      </c>
      <c r="AP63" s="212">
        <f t="shared" si="58"/>
        <v>4694000</v>
      </c>
      <c r="AQ63" s="146">
        <f t="shared" si="59"/>
        <v>6206618</v>
      </c>
      <c r="AR63" s="146">
        <f t="shared" si="59"/>
        <v>7459202</v>
      </c>
      <c r="AS63" s="146">
        <f t="shared" si="17"/>
        <v>13665820</v>
      </c>
    </row>
    <row r="64" spans="1:45" ht="26.25">
      <c r="A64" s="11" t="s">
        <v>454</v>
      </c>
      <c r="B64" s="153" t="s">
        <v>455</v>
      </c>
      <c r="C64" s="192"/>
      <c r="D64" s="193"/>
      <c r="E64" s="194">
        <f t="shared" si="43"/>
        <v>0</v>
      </c>
      <c r="F64" s="192">
        <f>5901+16815</f>
        <v>22716</v>
      </c>
      <c r="G64" s="193"/>
      <c r="H64" s="194">
        <f t="shared" si="44"/>
        <v>22716</v>
      </c>
      <c r="I64" s="192"/>
      <c r="J64" s="193">
        <f>7324</f>
        <v>7324</v>
      </c>
      <c r="K64" s="194">
        <f t="shared" si="45"/>
        <v>7324</v>
      </c>
      <c r="L64" s="212">
        <f t="shared" si="46"/>
        <v>30040</v>
      </c>
      <c r="M64" s="192">
        <v>7600</v>
      </c>
      <c r="N64" s="193">
        <v>2500</v>
      </c>
      <c r="O64" s="194">
        <f t="shared" si="47"/>
        <v>10100</v>
      </c>
      <c r="P64" s="192">
        <v>7600</v>
      </c>
      <c r="Q64" s="193">
        <v>2500</v>
      </c>
      <c r="R64" s="194">
        <f t="shared" si="48"/>
        <v>10100</v>
      </c>
      <c r="S64" s="192">
        <v>7600</v>
      </c>
      <c r="T64" s="193">
        <v>2500</v>
      </c>
      <c r="U64" s="194">
        <f t="shared" si="49"/>
        <v>10100</v>
      </c>
      <c r="V64" s="212">
        <f t="shared" si="50"/>
        <v>30300</v>
      </c>
      <c r="W64" s="192">
        <v>7600</v>
      </c>
      <c r="X64" s="193">
        <v>2500</v>
      </c>
      <c r="Y64" s="194">
        <f t="shared" si="51"/>
        <v>10100</v>
      </c>
      <c r="Z64" s="192">
        <v>7600</v>
      </c>
      <c r="AA64" s="193">
        <v>2500</v>
      </c>
      <c r="AB64" s="194">
        <f t="shared" si="52"/>
        <v>10100</v>
      </c>
      <c r="AC64" s="192">
        <v>7600</v>
      </c>
      <c r="AD64" s="193">
        <v>2500</v>
      </c>
      <c r="AE64" s="194">
        <f t="shared" si="53"/>
        <v>10100</v>
      </c>
      <c r="AF64" s="212">
        <f t="shared" si="54"/>
        <v>30300</v>
      </c>
      <c r="AG64" s="192">
        <v>7600</v>
      </c>
      <c r="AH64" s="193">
        <v>2500</v>
      </c>
      <c r="AI64" s="194">
        <f t="shared" si="55"/>
        <v>10100</v>
      </c>
      <c r="AJ64" s="192">
        <v>7600</v>
      </c>
      <c r="AK64" s="193">
        <v>2500</v>
      </c>
      <c r="AL64" s="194">
        <f t="shared" si="56"/>
        <v>10100</v>
      </c>
      <c r="AM64" s="192">
        <v>25000</v>
      </c>
      <c r="AN64" s="193">
        <v>2500</v>
      </c>
      <c r="AO64" s="194">
        <f t="shared" si="57"/>
        <v>27500</v>
      </c>
      <c r="AP64" s="212">
        <f t="shared" si="58"/>
        <v>47700</v>
      </c>
      <c r="AQ64" s="146">
        <f t="shared" si="59"/>
        <v>108516</v>
      </c>
      <c r="AR64" s="146">
        <f t="shared" si="59"/>
        <v>29824</v>
      </c>
      <c r="AS64" s="146">
        <f t="shared" si="17"/>
        <v>138340</v>
      </c>
    </row>
    <row r="65" spans="1:45" ht="26.25">
      <c r="A65" s="11" t="s">
        <v>456</v>
      </c>
      <c r="B65" s="168" t="s">
        <v>457</v>
      </c>
      <c r="C65" s="192"/>
      <c r="D65" s="193">
        <f>70155+78918</f>
        <v>149073</v>
      </c>
      <c r="E65" s="194">
        <f t="shared" si="43"/>
        <v>149073</v>
      </c>
      <c r="F65" s="192">
        <f>3266</f>
        <v>3266</v>
      </c>
      <c r="G65" s="193">
        <f>1099144+452243</f>
        <v>1551387</v>
      </c>
      <c r="H65" s="194">
        <f t="shared" si="44"/>
        <v>1554653</v>
      </c>
      <c r="I65" s="192">
        <f>8839+6482</f>
        <v>15321</v>
      </c>
      <c r="J65" s="193">
        <f>76116+1861773</f>
        <v>1937889</v>
      </c>
      <c r="K65" s="194">
        <f t="shared" si="45"/>
        <v>1953210</v>
      </c>
      <c r="L65" s="212">
        <f t="shared" si="46"/>
        <v>3656936</v>
      </c>
      <c r="M65" s="192">
        <v>6000</v>
      </c>
      <c r="N65" s="193">
        <v>120000</v>
      </c>
      <c r="O65" s="194">
        <f t="shared" si="47"/>
        <v>126000</v>
      </c>
      <c r="P65" s="192">
        <v>6000</v>
      </c>
      <c r="Q65" s="193">
        <v>120000</v>
      </c>
      <c r="R65" s="194">
        <f t="shared" si="48"/>
        <v>126000</v>
      </c>
      <c r="S65" s="192">
        <v>6000</v>
      </c>
      <c r="T65" s="193">
        <v>120000</v>
      </c>
      <c r="U65" s="194">
        <f t="shared" si="49"/>
        <v>126000</v>
      </c>
      <c r="V65" s="212">
        <f t="shared" si="50"/>
        <v>378000</v>
      </c>
      <c r="W65" s="192">
        <v>6000</v>
      </c>
      <c r="X65" s="193">
        <v>120000</v>
      </c>
      <c r="Y65" s="194">
        <f t="shared" si="51"/>
        <v>126000</v>
      </c>
      <c r="Z65" s="192">
        <v>6000</v>
      </c>
      <c r="AA65" s="193">
        <v>120000</v>
      </c>
      <c r="AB65" s="194">
        <f t="shared" si="52"/>
        <v>126000</v>
      </c>
      <c r="AC65" s="192">
        <v>6000</v>
      </c>
      <c r="AD65" s="193">
        <v>120000</v>
      </c>
      <c r="AE65" s="194">
        <f t="shared" si="53"/>
        <v>126000</v>
      </c>
      <c r="AF65" s="212">
        <f t="shared" si="54"/>
        <v>378000</v>
      </c>
      <c r="AG65" s="192">
        <v>6000</v>
      </c>
      <c r="AH65" s="193">
        <v>120000</v>
      </c>
      <c r="AI65" s="194">
        <f t="shared" si="55"/>
        <v>126000</v>
      </c>
      <c r="AJ65" s="192">
        <v>6000</v>
      </c>
      <c r="AK65" s="193">
        <v>120000</v>
      </c>
      <c r="AL65" s="194">
        <f t="shared" si="56"/>
        <v>126000</v>
      </c>
      <c r="AM65" s="192">
        <v>6000</v>
      </c>
      <c r="AN65" s="193">
        <v>120000</v>
      </c>
      <c r="AO65" s="194">
        <f t="shared" si="57"/>
        <v>126000</v>
      </c>
      <c r="AP65" s="212">
        <f t="shared" si="58"/>
        <v>378000</v>
      </c>
      <c r="AQ65" s="146">
        <f t="shared" si="59"/>
        <v>72587</v>
      </c>
      <c r="AR65" s="146">
        <f t="shared" si="59"/>
        <v>4718349</v>
      </c>
      <c r="AS65" s="146">
        <f t="shared" si="17"/>
        <v>4790936</v>
      </c>
    </row>
    <row r="66" spans="1:45" ht="26.25">
      <c r="A66" s="11" t="s">
        <v>458</v>
      </c>
      <c r="B66" s="153" t="s">
        <v>459</v>
      </c>
      <c r="C66" s="192"/>
      <c r="D66" s="193"/>
      <c r="E66" s="194">
        <f t="shared" si="43"/>
        <v>0</v>
      </c>
      <c r="F66" s="192"/>
      <c r="G66" s="193">
        <v>5586</v>
      </c>
      <c r="H66" s="194">
        <f t="shared" si="44"/>
        <v>5586</v>
      </c>
      <c r="I66" s="192"/>
      <c r="J66" s="193"/>
      <c r="K66" s="194">
        <f t="shared" si="45"/>
        <v>0</v>
      </c>
      <c r="L66" s="212">
        <f t="shared" si="46"/>
        <v>5586</v>
      </c>
      <c r="M66" s="192">
        <v>0</v>
      </c>
      <c r="N66" s="193">
        <v>2000</v>
      </c>
      <c r="O66" s="194">
        <f t="shared" si="47"/>
        <v>2000</v>
      </c>
      <c r="P66" s="192">
        <v>0</v>
      </c>
      <c r="Q66" s="193">
        <v>2000</v>
      </c>
      <c r="R66" s="194">
        <f t="shared" si="48"/>
        <v>2000</v>
      </c>
      <c r="S66" s="192">
        <v>0</v>
      </c>
      <c r="T66" s="193">
        <v>2000</v>
      </c>
      <c r="U66" s="194">
        <f t="shared" si="49"/>
        <v>2000</v>
      </c>
      <c r="V66" s="212">
        <f t="shared" si="50"/>
        <v>6000</v>
      </c>
      <c r="W66" s="192">
        <v>0</v>
      </c>
      <c r="X66" s="193">
        <v>2000</v>
      </c>
      <c r="Y66" s="194">
        <f t="shared" si="51"/>
        <v>2000</v>
      </c>
      <c r="Z66" s="192">
        <v>0</v>
      </c>
      <c r="AA66" s="193">
        <v>2000</v>
      </c>
      <c r="AB66" s="194">
        <f t="shared" si="52"/>
        <v>2000</v>
      </c>
      <c r="AC66" s="192">
        <v>0</v>
      </c>
      <c r="AD66" s="193">
        <v>2000</v>
      </c>
      <c r="AE66" s="194">
        <f t="shared" si="53"/>
        <v>2000</v>
      </c>
      <c r="AF66" s="212">
        <f t="shared" si="54"/>
        <v>6000</v>
      </c>
      <c r="AG66" s="192">
        <v>0</v>
      </c>
      <c r="AH66" s="193">
        <v>2000</v>
      </c>
      <c r="AI66" s="194">
        <f t="shared" si="55"/>
        <v>2000</v>
      </c>
      <c r="AJ66" s="192">
        <v>0</v>
      </c>
      <c r="AK66" s="193">
        <v>2000</v>
      </c>
      <c r="AL66" s="194">
        <f t="shared" si="56"/>
        <v>2000</v>
      </c>
      <c r="AM66" s="192">
        <v>0</v>
      </c>
      <c r="AN66" s="193">
        <v>2000</v>
      </c>
      <c r="AO66" s="194">
        <f t="shared" si="57"/>
        <v>2000</v>
      </c>
      <c r="AP66" s="212">
        <f t="shared" si="58"/>
        <v>6000</v>
      </c>
      <c r="AQ66" s="146">
        <f t="shared" si="59"/>
        <v>0</v>
      </c>
      <c r="AR66" s="146">
        <f t="shared" si="59"/>
        <v>23586</v>
      </c>
      <c r="AS66" s="146">
        <f t="shared" si="17"/>
        <v>23586</v>
      </c>
    </row>
    <row r="67" spans="1:45" ht="26.25">
      <c r="A67" s="11" t="s">
        <v>460</v>
      </c>
      <c r="B67" s="153" t="s">
        <v>461</v>
      </c>
      <c r="C67" s="192"/>
      <c r="D67" s="193">
        <f>28304+2663</f>
        <v>30967</v>
      </c>
      <c r="E67" s="194">
        <f t="shared" si="43"/>
        <v>30967</v>
      </c>
      <c r="F67" s="192">
        <f>1522</f>
        <v>1522</v>
      </c>
      <c r="G67" s="193">
        <f>49624+373</f>
        <v>49997</v>
      </c>
      <c r="H67" s="194">
        <f t="shared" si="44"/>
        <v>51519</v>
      </c>
      <c r="I67" s="192">
        <f>10602+6000</f>
        <v>16602</v>
      </c>
      <c r="J67" s="193">
        <f>2422+3600</f>
        <v>6022</v>
      </c>
      <c r="K67" s="194">
        <f t="shared" si="45"/>
        <v>22624</v>
      </c>
      <c r="L67" s="212">
        <f t="shared" si="46"/>
        <v>105110</v>
      </c>
      <c r="M67" s="192">
        <v>6000</v>
      </c>
      <c r="N67" s="193">
        <v>29000</v>
      </c>
      <c r="O67" s="194">
        <f t="shared" si="47"/>
        <v>35000</v>
      </c>
      <c r="P67" s="192">
        <v>6000</v>
      </c>
      <c r="Q67" s="193">
        <v>29000</v>
      </c>
      <c r="R67" s="194">
        <f t="shared" si="48"/>
        <v>35000</v>
      </c>
      <c r="S67" s="192">
        <v>6000</v>
      </c>
      <c r="T67" s="193">
        <v>29000</v>
      </c>
      <c r="U67" s="194">
        <f t="shared" si="49"/>
        <v>35000</v>
      </c>
      <c r="V67" s="212">
        <f t="shared" si="50"/>
        <v>105000</v>
      </c>
      <c r="W67" s="192">
        <v>6000</v>
      </c>
      <c r="X67" s="193">
        <v>29000</v>
      </c>
      <c r="Y67" s="194">
        <f t="shared" si="51"/>
        <v>35000</v>
      </c>
      <c r="Z67" s="192">
        <v>6000</v>
      </c>
      <c r="AA67" s="193">
        <v>29000</v>
      </c>
      <c r="AB67" s="194">
        <f t="shared" si="52"/>
        <v>35000</v>
      </c>
      <c r="AC67" s="192">
        <v>6000</v>
      </c>
      <c r="AD67" s="193">
        <v>29000</v>
      </c>
      <c r="AE67" s="194">
        <f t="shared" si="53"/>
        <v>35000</v>
      </c>
      <c r="AF67" s="212">
        <f t="shared" si="54"/>
        <v>105000</v>
      </c>
      <c r="AG67" s="192">
        <v>6000</v>
      </c>
      <c r="AH67" s="193">
        <v>29000</v>
      </c>
      <c r="AI67" s="194">
        <f t="shared" si="55"/>
        <v>35000</v>
      </c>
      <c r="AJ67" s="192">
        <v>6000</v>
      </c>
      <c r="AK67" s="193">
        <v>29000</v>
      </c>
      <c r="AL67" s="194">
        <f t="shared" si="56"/>
        <v>35000</v>
      </c>
      <c r="AM67" s="192">
        <v>6000</v>
      </c>
      <c r="AN67" s="193">
        <v>29000</v>
      </c>
      <c r="AO67" s="194">
        <f t="shared" si="57"/>
        <v>35000</v>
      </c>
      <c r="AP67" s="212">
        <f t="shared" si="58"/>
        <v>105000</v>
      </c>
      <c r="AQ67" s="146">
        <f t="shared" si="59"/>
        <v>72124</v>
      </c>
      <c r="AR67" s="146">
        <f t="shared" si="59"/>
        <v>347986</v>
      </c>
      <c r="AS67" s="146">
        <f t="shared" si="17"/>
        <v>420110</v>
      </c>
    </row>
    <row r="68" spans="1:45" ht="26.25">
      <c r="A68" s="11" t="s">
        <v>462</v>
      </c>
      <c r="B68" s="153" t="s">
        <v>463</v>
      </c>
      <c r="C68" s="192"/>
      <c r="D68" s="193"/>
      <c r="E68" s="194">
        <f t="shared" si="43"/>
        <v>0</v>
      </c>
      <c r="F68" s="192"/>
      <c r="G68" s="193"/>
      <c r="H68" s="194">
        <f t="shared" si="44"/>
        <v>0</v>
      </c>
      <c r="I68" s="192"/>
      <c r="J68" s="193"/>
      <c r="K68" s="194">
        <f t="shared" si="45"/>
        <v>0</v>
      </c>
      <c r="L68" s="212">
        <f t="shared" si="46"/>
        <v>0</v>
      </c>
      <c r="M68" s="192">
        <v>0</v>
      </c>
      <c r="N68" s="193">
        <v>0</v>
      </c>
      <c r="O68" s="194">
        <f t="shared" si="47"/>
        <v>0</v>
      </c>
      <c r="P68" s="192">
        <v>0</v>
      </c>
      <c r="Q68" s="193">
        <v>0</v>
      </c>
      <c r="R68" s="194">
        <f t="shared" si="48"/>
        <v>0</v>
      </c>
      <c r="S68" s="192">
        <v>0</v>
      </c>
      <c r="T68" s="193">
        <v>0</v>
      </c>
      <c r="U68" s="194">
        <f t="shared" si="49"/>
        <v>0</v>
      </c>
      <c r="V68" s="212">
        <f t="shared" si="50"/>
        <v>0</v>
      </c>
      <c r="W68" s="192">
        <v>0</v>
      </c>
      <c r="X68" s="193">
        <v>0</v>
      </c>
      <c r="Y68" s="194">
        <f t="shared" si="51"/>
        <v>0</v>
      </c>
      <c r="Z68" s="192">
        <v>0</v>
      </c>
      <c r="AA68" s="193">
        <v>0</v>
      </c>
      <c r="AB68" s="194">
        <f t="shared" si="52"/>
        <v>0</v>
      </c>
      <c r="AC68" s="192">
        <v>0</v>
      </c>
      <c r="AD68" s="193">
        <v>0</v>
      </c>
      <c r="AE68" s="194">
        <f t="shared" si="53"/>
        <v>0</v>
      </c>
      <c r="AF68" s="212">
        <f t="shared" si="54"/>
        <v>0</v>
      </c>
      <c r="AG68" s="192">
        <v>0</v>
      </c>
      <c r="AH68" s="193">
        <v>0</v>
      </c>
      <c r="AI68" s="194">
        <f t="shared" si="55"/>
        <v>0</v>
      </c>
      <c r="AJ68" s="192">
        <v>0</v>
      </c>
      <c r="AK68" s="193">
        <v>0</v>
      </c>
      <c r="AL68" s="194">
        <f t="shared" si="56"/>
        <v>0</v>
      </c>
      <c r="AM68" s="192">
        <v>0</v>
      </c>
      <c r="AN68" s="193">
        <v>0</v>
      </c>
      <c r="AO68" s="194">
        <f t="shared" si="57"/>
        <v>0</v>
      </c>
      <c r="AP68" s="212">
        <f t="shared" si="58"/>
        <v>0</v>
      </c>
      <c r="AQ68" s="146">
        <f t="shared" si="59"/>
        <v>0</v>
      </c>
      <c r="AR68" s="146">
        <f t="shared" si="59"/>
        <v>0</v>
      </c>
      <c r="AS68" s="146">
        <f t="shared" si="17"/>
        <v>0</v>
      </c>
    </row>
    <row r="69" spans="1:45" ht="26.25">
      <c r="A69" s="11" t="s">
        <v>464</v>
      </c>
      <c r="B69" s="153" t="s">
        <v>465</v>
      </c>
      <c r="C69" s="192"/>
      <c r="D69" s="193"/>
      <c r="E69" s="194">
        <f t="shared" si="43"/>
        <v>0</v>
      </c>
      <c r="F69" s="192"/>
      <c r="G69" s="193"/>
      <c r="H69" s="194">
        <f t="shared" si="44"/>
        <v>0</v>
      </c>
      <c r="I69" s="192"/>
      <c r="J69" s="193"/>
      <c r="K69" s="194">
        <f t="shared" si="45"/>
        <v>0</v>
      </c>
      <c r="L69" s="212">
        <f t="shared" si="46"/>
        <v>0</v>
      </c>
      <c r="M69" s="192">
        <v>0</v>
      </c>
      <c r="N69" s="193">
        <v>0</v>
      </c>
      <c r="O69" s="194">
        <f t="shared" si="47"/>
        <v>0</v>
      </c>
      <c r="P69" s="192">
        <v>0</v>
      </c>
      <c r="Q69" s="193">
        <v>0</v>
      </c>
      <c r="R69" s="194">
        <f t="shared" si="48"/>
        <v>0</v>
      </c>
      <c r="S69" s="192">
        <v>0</v>
      </c>
      <c r="T69" s="193">
        <v>0</v>
      </c>
      <c r="U69" s="194">
        <f t="shared" si="49"/>
        <v>0</v>
      </c>
      <c r="V69" s="212">
        <f t="shared" si="50"/>
        <v>0</v>
      </c>
      <c r="W69" s="192">
        <v>0</v>
      </c>
      <c r="X69" s="193">
        <v>0</v>
      </c>
      <c r="Y69" s="194">
        <f t="shared" si="51"/>
        <v>0</v>
      </c>
      <c r="Z69" s="192">
        <v>0</v>
      </c>
      <c r="AA69" s="193">
        <v>0</v>
      </c>
      <c r="AB69" s="194">
        <f t="shared" si="52"/>
        <v>0</v>
      </c>
      <c r="AC69" s="192">
        <v>0</v>
      </c>
      <c r="AD69" s="193">
        <v>0</v>
      </c>
      <c r="AE69" s="194">
        <f t="shared" si="53"/>
        <v>0</v>
      </c>
      <c r="AF69" s="212">
        <f t="shared" si="54"/>
        <v>0</v>
      </c>
      <c r="AG69" s="192">
        <v>0</v>
      </c>
      <c r="AH69" s="193">
        <v>0</v>
      </c>
      <c r="AI69" s="194">
        <f t="shared" si="55"/>
        <v>0</v>
      </c>
      <c r="AJ69" s="192">
        <v>0</v>
      </c>
      <c r="AK69" s="193">
        <v>0</v>
      </c>
      <c r="AL69" s="194">
        <f t="shared" si="56"/>
        <v>0</v>
      </c>
      <c r="AM69" s="192">
        <v>0</v>
      </c>
      <c r="AN69" s="193">
        <v>0</v>
      </c>
      <c r="AO69" s="194">
        <f t="shared" si="57"/>
        <v>0</v>
      </c>
      <c r="AP69" s="212">
        <f t="shared" si="58"/>
        <v>0</v>
      </c>
      <c r="AQ69" s="146">
        <f t="shared" si="59"/>
        <v>0</v>
      </c>
      <c r="AR69" s="146">
        <f t="shared" si="59"/>
        <v>0</v>
      </c>
      <c r="AS69" s="146">
        <f t="shared" si="17"/>
        <v>0</v>
      </c>
    </row>
    <row r="70" spans="1:45" ht="26.25">
      <c r="A70" s="11" t="s">
        <v>466</v>
      </c>
      <c r="B70" s="158" t="s">
        <v>467</v>
      </c>
      <c r="C70" s="195"/>
      <c r="D70" s="196"/>
      <c r="E70" s="197">
        <f t="shared" si="43"/>
        <v>0</v>
      </c>
      <c r="F70" s="195"/>
      <c r="G70" s="196"/>
      <c r="H70" s="197">
        <f t="shared" si="44"/>
        <v>0</v>
      </c>
      <c r="I70" s="195"/>
      <c r="J70" s="196"/>
      <c r="K70" s="197">
        <f t="shared" si="45"/>
        <v>0</v>
      </c>
      <c r="L70" s="214">
        <f t="shared" si="46"/>
        <v>0</v>
      </c>
      <c r="M70" s="195">
        <v>0</v>
      </c>
      <c r="N70" s="196">
        <v>0</v>
      </c>
      <c r="O70" s="197">
        <f t="shared" si="47"/>
        <v>0</v>
      </c>
      <c r="P70" s="195">
        <v>0</v>
      </c>
      <c r="Q70" s="196">
        <v>0</v>
      </c>
      <c r="R70" s="197">
        <f t="shared" si="48"/>
        <v>0</v>
      </c>
      <c r="S70" s="195">
        <v>0</v>
      </c>
      <c r="T70" s="196">
        <v>0</v>
      </c>
      <c r="U70" s="197">
        <f t="shared" si="49"/>
        <v>0</v>
      </c>
      <c r="V70" s="214">
        <f t="shared" si="50"/>
        <v>0</v>
      </c>
      <c r="W70" s="195">
        <v>0</v>
      </c>
      <c r="X70" s="196">
        <v>0</v>
      </c>
      <c r="Y70" s="197">
        <f t="shared" si="51"/>
        <v>0</v>
      </c>
      <c r="Z70" s="195">
        <v>0</v>
      </c>
      <c r="AA70" s="196">
        <v>0</v>
      </c>
      <c r="AB70" s="197">
        <f t="shared" si="52"/>
        <v>0</v>
      </c>
      <c r="AC70" s="195">
        <v>0</v>
      </c>
      <c r="AD70" s="196">
        <v>0</v>
      </c>
      <c r="AE70" s="197">
        <f t="shared" si="53"/>
        <v>0</v>
      </c>
      <c r="AF70" s="214">
        <f t="shared" si="54"/>
        <v>0</v>
      </c>
      <c r="AG70" s="195">
        <v>0</v>
      </c>
      <c r="AH70" s="196">
        <v>0</v>
      </c>
      <c r="AI70" s="197">
        <f t="shared" si="55"/>
        <v>0</v>
      </c>
      <c r="AJ70" s="195">
        <v>0</v>
      </c>
      <c r="AK70" s="196">
        <v>0</v>
      </c>
      <c r="AL70" s="197">
        <f t="shared" si="56"/>
        <v>0</v>
      </c>
      <c r="AM70" s="195">
        <v>0</v>
      </c>
      <c r="AN70" s="196">
        <v>0</v>
      </c>
      <c r="AO70" s="197">
        <f t="shared" si="57"/>
        <v>0</v>
      </c>
      <c r="AP70" s="214">
        <f t="shared" si="58"/>
        <v>0</v>
      </c>
      <c r="AQ70" s="159">
        <f t="shared" si="59"/>
        <v>0</v>
      </c>
      <c r="AR70" s="159">
        <f t="shared" si="59"/>
        <v>0</v>
      </c>
      <c r="AS70" s="159">
        <f t="shared" si="17"/>
        <v>0</v>
      </c>
    </row>
    <row r="71" spans="2:45" ht="26.25">
      <c r="B71" s="171" t="s">
        <v>468</v>
      </c>
      <c r="C71" s="171"/>
      <c r="D71" s="172"/>
      <c r="E71" s="172"/>
      <c r="F71" s="171"/>
      <c r="G71" s="172"/>
      <c r="H71" s="172"/>
      <c r="I71" s="171"/>
      <c r="J71" s="172"/>
      <c r="K71" s="172"/>
      <c r="L71" s="172"/>
      <c r="M71" s="171"/>
      <c r="N71" s="172"/>
      <c r="O71" s="172"/>
      <c r="P71" s="171"/>
      <c r="Q71" s="172"/>
      <c r="R71" s="172"/>
      <c r="S71" s="171"/>
      <c r="T71" s="172"/>
      <c r="U71" s="172"/>
      <c r="V71" s="172"/>
      <c r="W71" s="171"/>
      <c r="X71" s="172"/>
      <c r="Y71" s="172"/>
      <c r="Z71" s="171"/>
      <c r="AA71" s="172"/>
      <c r="AB71" s="172"/>
      <c r="AC71" s="171"/>
      <c r="AD71" s="172"/>
      <c r="AE71" s="172"/>
      <c r="AF71" s="172"/>
      <c r="AG71" s="171"/>
      <c r="AH71" s="172"/>
      <c r="AI71" s="172"/>
      <c r="AJ71" s="171"/>
      <c r="AK71" s="172"/>
      <c r="AL71" s="172"/>
      <c r="AM71" s="171"/>
      <c r="AN71" s="172"/>
      <c r="AO71" s="172"/>
      <c r="AP71" s="172"/>
      <c r="AQ71" s="172"/>
      <c r="AR71" s="172"/>
      <c r="AS71" s="173"/>
    </row>
    <row r="72" spans="1:45" ht="26.25">
      <c r="A72" s="11" t="s">
        <v>469</v>
      </c>
      <c r="B72" s="169" t="s">
        <v>470</v>
      </c>
      <c r="C72" s="201"/>
      <c r="D72" s="202"/>
      <c r="E72" s="203">
        <f>SUM(C72:D72)</f>
        <v>0</v>
      </c>
      <c r="F72" s="201"/>
      <c r="G72" s="202"/>
      <c r="H72" s="203">
        <f>SUM(F72:G72)</f>
        <v>0</v>
      </c>
      <c r="I72" s="201"/>
      <c r="J72" s="202"/>
      <c r="K72" s="203">
        <f>SUM(I72:J72)</f>
        <v>0</v>
      </c>
      <c r="L72" s="215">
        <f>SUM(E72,H72,K72)</f>
        <v>0</v>
      </c>
      <c r="M72" s="201"/>
      <c r="N72" s="202"/>
      <c r="O72" s="203">
        <f>SUM(M72:N72)</f>
        <v>0</v>
      </c>
      <c r="P72" s="201"/>
      <c r="Q72" s="202"/>
      <c r="R72" s="203">
        <f>SUM(P72:Q72)</f>
        <v>0</v>
      </c>
      <c r="S72" s="201"/>
      <c r="T72" s="202">
        <v>250000</v>
      </c>
      <c r="U72" s="203">
        <f>SUM(S72:T72)</f>
        <v>250000</v>
      </c>
      <c r="V72" s="215">
        <f>SUM(O72,R72,U72)</f>
        <v>250000</v>
      </c>
      <c r="W72" s="201"/>
      <c r="X72" s="202"/>
      <c r="Y72" s="203">
        <f>SUM(W72:X72)</f>
        <v>0</v>
      </c>
      <c r="Z72" s="201"/>
      <c r="AA72" s="202"/>
      <c r="AB72" s="203">
        <f>SUM(Z72:AA72)</f>
        <v>0</v>
      </c>
      <c r="AC72" s="201"/>
      <c r="AD72" s="202"/>
      <c r="AE72" s="203">
        <f>SUM(AC72:AD72)</f>
        <v>0</v>
      </c>
      <c r="AF72" s="215">
        <f>SUM(Y72,AB72,AE72)</f>
        <v>0</v>
      </c>
      <c r="AG72" s="201"/>
      <c r="AH72" s="202"/>
      <c r="AI72" s="203">
        <f>SUM(AG72:AH72)</f>
        <v>0</v>
      </c>
      <c r="AJ72" s="201"/>
      <c r="AK72" s="202"/>
      <c r="AL72" s="203">
        <f>SUM(AJ72:AK72)</f>
        <v>0</v>
      </c>
      <c r="AM72" s="201"/>
      <c r="AN72" s="202"/>
      <c r="AO72" s="203">
        <f>SUM(AM72:AN72)</f>
        <v>0</v>
      </c>
      <c r="AP72" s="215">
        <f>SUM(AI72,AL72,AO72)</f>
        <v>0</v>
      </c>
      <c r="AQ72" s="142">
        <f>C72+F72+I72+M72+P72+S72+W72+Z72+AC72+AG72+AJ72+AM72</f>
        <v>0</v>
      </c>
      <c r="AR72" s="142">
        <f>D72+G72+J72+N72+Q72+T72+X72+AA72+AD72+AH72+AK72+AN72</f>
        <v>250000</v>
      </c>
      <c r="AS72" s="142">
        <f t="shared" si="17"/>
        <v>250000</v>
      </c>
    </row>
    <row r="73" spans="1:45" ht="26.25">
      <c r="A73" s="11" t="s">
        <v>471</v>
      </c>
      <c r="B73" s="170" t="s">
        <v>472</v>
      </c>
      <c r="C73" s="195"/>
      <c r="D73" s="196">
        <f>399493+107495</f>
        <v>506988</v>
      </c>
      <c r="E73" s="197">
        <f>SUM(C73:D73)</f>
        <v>506988</v>
      </c>
      <c r="F73" s="195">
        <f>632+54558</f>
        <v>55190</v>
      </c>
      <c r="G73" s="196">
        <v>684130</v>
      </c>
      <c r="H73" s="197">
        <f>SUM(F73:G73)</f>
        <v>739320</v>
      </c>
      <c r="I73" s="195">
        <v>296271</v>
      </c>
      <c r="J73" s="196">
        <v>76074</v>
      </c>
      <c r="K73" s="197">
        <f>SUM(I73:J73)</f>
        <v>372345</v>
      </c>
      <c r="L73" s="214">
        <f>SUM(E73,H73,K73)</f>
        <v>1618653</v>
      </c>
      <c r="M73" s="195">
        <v>100000</v>
      </c>
      <c r="N73" s="196">
        <v>400000</v>
      </c>
      <c r="O73" s="197">
        <f>SUM(M73:N73)</f>
        <v>500000</v>
      </c>
      <c r="P73" s="195"/>
      <c r="Q73" s="196"/>
      <c r="R73" s="197">
        <f>SUM(P73:Q73)</f>
        <v>0</v>
      </c>
      <c r="S73" s="195"/>
      <c r="T73" s="196"/>
      <c r="U73" s="197">
        <f>SUM(S73:T73)</f>
        <v>0</v>
      </c>
      <c r="V73" s="214">
        <f>SUM(O73,R73,U73)</f>
        <v>500000</v>
      </c>
      <c r="W73" s="195">
        <v>100000</v>
      </c>
      <c r="X73" s="196">
        <v>400000</v>
      </c>
      <c r="Y73" s="197">
        <f>SUM(W73:X73)</f>
        <v>500000</v>
      </c>
      <c r="Z73" s="195"/>
      <c r="AA73" s="196"/>
      <c r="AB73" s="197">
        <f>SUM(Z73:AA73)</f>
        <v>0</v>
      </c>
      <c r="AC73" s="195"/>
      <c r="AD73" s="196"/>
      <c r="AE73" s="197">
        <f>SUM(AC73:AD73)</f>
        <v>0</v>
      </c>
      <c r="AF73" s="214">
        <f>SUM(Y73,AB73,AE73)</f>
        <v>500000</v>
      </c>
      <c r="AG73" s="195">
        <v>300000</v>
      </c>
      <c r="AH73" s="196">
        <v>200000</v>
      </c>
      <c r="AI73" s="197">
        <f>SUM(AG73:AH73)</f>
        <v>500000</v>
      </c>
      <c r="AJ73" s="195"/>
      <c r="AK73" s="196"/>
      <c r="AL73" s="197">
        <f>SUM(AJ73:AK73)</f>
        <v>0</v>
      </c>
      <c r="AM73" s="195">
        <v>300000</v>
      </c>
      <c r="AN73" s="196">
        <v>200000</v>
      </c>
      <c r="AO73" s="197">
        <f>SUM(AM73:AN73)</f>
        <v>500000</v>
      </c>
      <c r="AP73" s="214">
        <f>SUM(AI73,AL73,AO73)</f>
        <v>1000000</v>
      </c>
      <c r="AQ73" s="159">
        <f>C73+F73+I73+M73+P73+S73+W73+Z73+AC73+AG73+AJ73+AM73</f>
        <v>1151461</v>
      </c>
      <c r="AR73" s="159">
        <f>D73+G73+J73+N73+Q73+T73+X73+AA73+AD73+AH73+AK73+AN73</f>
        <v>2467192</v>
      </c>
      <c r="AS73" s="159">
        <f t="shared" si="17"/>
        <v>3618653</v>
      </c>
    </row>
    <row r="74" spans="2:45" ht="26.25">
      <c r="B74" s="171" t="s">
        <v>473</v>
      </c>
      <c r="C74" s="171"/>
      <c r="D74" s="172"/>
      <c r="E74" s="172"/>
      <c r="F74" s="171"/>
      <c r="G74" s="172"/>
      <c r="H74" s="172"/>
      <c r="I74" s="171"/>
      <c r="J74" s="172"/>
      <c r="K74" s="172"/>
      <c r="L74" s="172"/>
      <c r="M74" s="171"/>
      <c r="N74" s="172"/>
      <c r="O74" s="172"/>
      <c r="P74" s="171"/>
      <c r="Q74" s="172"/>
      <c r="R74" s="172"/>
      <c r="S74" s="171"/>
      <c r="T74" s="172"/>
      <c r="U74" s="172"/>
      <c r="V74" s="172"/>
      <c r="W74" s="171"/>
      <c r="X74" s="172"/>
      <c r="Y74" s="172"/>
      <c r="Z74" s="171"/>
      <c r="AA74" s="172"/>
      <c r="AB74" s="172"/>
      <c r="AC74" s="171"/>
      <c r="AD74" s="172"/>
      <c r="AE74" s="172"/>
      <c r="AF74" s="172"/>
      <c r="AG74" s="171"/>
      <c r="AH74" s="172"/>
      <c r="AI74" s="172"/>
      <c r="AJ74" s="171"/>
      <c r="AK74" s="172"/>
      <c r="AL74" s="172"/>
      <c r="AM74" s="171"/>
      <c r="AN74" s="172"/>
      <c r="AO74" s="172"/>
      <c r="AP74" s="172"/>
      <c r="AQ74" s="172"/>
      <c r="AR74" s="172"/>
      <c r="AS74" s="173"/>
    </row>
    <row r="75" spans="1:45" ht="26.25">
      <c r="A75" s="11" t="s">
        <v>474</v>
      </c>
      <c r="B75" s="13" t="s">
        <v>475</v>
      </c>
      <c r="C75" s="204"/>
      <c r="D75" s="205"/>
      <c r="E75" s="206">
        <f>SUM(C75:D75)</f>
        <v>0</v>
      </c>
      <c r="F75" s="204"/>
      <c r="G75" s="205"/>
      <c r="H75" s="206">
        <f>SUM(F75:G75)</f>
        <v>0</v>
      </c>
      <c r="I75" s="204"/>
      <c r="J75" s="205"/>
      <c r="K75" s="206">
        <f>SUM(I75:J75)</f>
        <v>0</v>
      </c>
      <c r="L75" s="211">
        <f>SUM(E75,H75,K75)</f>
        <v>0</v>
      </c>
      <c r="M75" s="204"/>
      <c r="N75" s="205"/>
      <c r="O75" s="206">
        <f>SUM(M75:N75)</f>
        <v>0</v>
      </c>
      <c r="P75" s="204"/>
      <c r="Q75" s="205"/>
      <c r="R75" s="206">
        <f>SUM(P75:Q75)</f>
        <v>0</v>
      </c>
      <c r="S75" s="204"/>
      <c r="T75" s="205"/>
      <c r="U75" s="206">
        <f>SUM(S75:T75)</f>
        <v>0</v>
      </c>
      <c r="V75" s="211">
        <f>SUM(O75,R75,U75)</f>
        <v>0</v>
      </c>
      <c r="W75" s="204"/>
      <c r="X75" s="205"/>
      <c r="Y75" s="206">
        <f>SUM(W75:X75)</f>
        <v>0</v>
      </c>
      <c r="Z75" s="204"/>
      <c r="AA75" s="205"/>
      <c r="AB75" s="206">
        <f>SUM(Z75:AA75)</f>
        <v>0</v>
      </c>
      <c r="AC75" s="204"/>
      <c r="AD75" s="205"/>
      <c r="AE75" s="206">
        <f>SUM(AC75:AD75)</f>
        <v>0</v>
      </c>
      <c r="AF75" s="211">
        <f>SUM(Y75,AB75,AE75)</f>
        <v>0</v>
      </c>
      <c r="AG75" s="204"/>
      <c r="AH75" s="205"/>
      <c r="AI75" s="206">
        <f>SUM(AG75:AH75)</f>
        <v>0</v>
      </c>
      <c r="AJ75" s="204"/>
      <c r="AK75" s="205"/>
      <c r="AL75" s="206">
        <f>SUM(AJ75:AK75)</f>
        <v>0</v>
      </c>
      <c r="AM75" s="204"/>
      <c r="AN75" s="205"/>
      <c r="AO75" s="206">
        <f>SUM(AM75:AN75)</f>
        <v>0</v>
      </c>
      <c r="AP75" s="211">
        <f>SUM(AI75,AL75,AO75)</f>
        <v>0</v>
      </c>
      <c r="AQ75" s="15">
        <f>C75+F75+I75+M75+P75+S75+W75+Z75+AC75+AG75+AJ75+AM75</f>
        <v>0</v>
      </c>
      <c r="AR75" s="15">
        <f>D75+G75+J75+N75+Q75+T75+X75+AA75+AD75+AH75+AK75+AN75</f>
        <v>0</v>
      </c>
      <c r="AS75" s="15">
        <f t="shared" si="17"/>
        <v>0</v>
      </c>
    </row>
    <row r="76" spans="1:45" ht="26.25">
      <c r="A76" s="11" t="s">
        <v>476</v>
      </c>
      <c r="B76" s="392" t="s">
        <v>477</v>
      </c>
      <c r="C76" s="391">
        <f>SUM(C75,C72:C73,C55:C70)</f>
        <v>7793824</v>
      </c>
      <c r="D76" s="391">
        <f aca="true" t="shared" si="60" ref="D76:AS76">SUM(D75,D72:D73,D55:D70)</f>
        <v>14657172</v>
      </c>
      <c r="E76" s="391">
        <f t="shared" si="60"/>
        <v>22450996</v>
      </c>
      <c r="F76" s="391">
        <f t="shared" si="60"/>
        <v>20205216</v>
      </c>
      <c r="G76" s="391">
        <f t="shared" si="60"/>
        <v>11658084</v>
      </c>
      <c r="H76" s="391">
        <f t="shared" si="60"/>
        <v>31863300</v>
      </c>
      <c r="I76" s="391">
        <f t="shared" si="60"/>
        <v>26582288</v>
      </c>
      <c r="J76" s="391">
        <f t="shared" si="60"/>
        <v>8730694</v>
      </c>
      <c r="K76" s="391">
        <f t="shared" si="60"/>
        <v>35312982</v>
      </c>
      <c r="L76" s="391">
        <f t="shared" si="60"/>
        <v>89627278</v>
      </c>
      <c r="M76" s="391">
        <f t="shared" si="60"/>
        <v>25822600</v>
      </c>
      <c r="N76" s="391">
        <f t="shared" si="60"/>
        <v>7721500</v>
      </c>
      <c r="O76" s="391">
        <f t="shared" si="60"/>
        <v>33544100</v>
      </c>
      <c r="P76" s="391">
        <f t="shared" si="60"/>
        <v>27222600</v>
      </c>
      <c r="Q76" s="391">
        <f t="shared" si="60"/>
        <v>4821500</v>
      </c>
      <c r="R76" s="391">
        <f t="shared" si="60"/>
        <v>32044100</v>
      </c>
      <c r="S76" s="391">
        <f t="shared" si="60"/>
        <v>27222600</v>
      </c>
      <c r="T76" s="391">
        <f t="shared" si="60"/>
        <v>6071500</v>
      </c>
      <c r="U76" s="391">
        <f t="shared" si="60"/>
        <v>33294100</v>
      </c>
      <c r="V76" s="391">
        <f t="shared" si="60"/>
        <v>98882300</v>
      </c>
      <c r="W76" s="391">
        <f t="shared" si="60"/>
        <v>26322600</v>
      </c>
      <c r="X76" s="391">
        <f t="shared" si="60"/>
        <v>7221500</v>
      </c>
      <c r="Y76" s="391">
        <f t="shared" si="60"/>
        <v>33544100</v>
      </c>
      <c r="Z76" s="391">
        <f t="shared" si="60"/>
        <v>26222600</v>
      </c>
      <c r="AA76" s="391">
        <f t="shared" si="60"/>
        <v>4821500</v>
      </c>
      <c r="AB76" s="391">
        <f t="shared" si="60"/>
        <v>31044100</v>
      </c>
      <c r="AC76" s="391">
        <f t="shared" si="60"/>
        <v>27322600</v>
      </c>
      <c r="AD76" s="391">
        <f t="shared" si="60"/>
        <v>4128500</v>
      </c>
      <c r="AE76" s="391">
        <f t="shared" si="60"/>
        <v>31451100</v>
      </c>
      <c r="AF76" s="391">
        <f t="shared" si="60"/>
        <v>96039300</v>
      </c>
      <c r="AG76" s="391">
        <f t="shared" si="60"/>
        <v>27622600</v>
      </c>
      <c r="AH76" s="391">
        <f t="shared" si="60"/>
        <v>3328500</v>
      </c>
      <c r="AI76" s="391">
        <f t="shared" si="60"/>
        <v>30951100</v>
      </c>
      <c r="AJ76" s="391">
        <f t="shared" si="60"/>
        <v>27322600</v>
      </c>
      <c r="AK76" s="391">
        <f t="shared" si="60"/>
        <v>2628500</v>
      </c>
      <c r="AL76" s="391">
        <f t="shared" si="60"/>
        <v>29951100</v>
      </c>
      <c r="AM76" s="391">
        <f t="shared" si="60"/>
        <v>53837000</v>
      </c>
      <c r="AN76" s="391">
        <f t="shared" si="60"/>
        <v>1256500</v>
      </c>
      <c r="AO76" s="391">
        <f t="shared" si="60"/>
        <v>55093500</v>
      </c>
      <c r="AP76" s="391">
        <f t="shared" si="60"/>
        <v>115995700</v>
      </c>
      <c r="AQ76" s="391">
        <f t="shared" si="60"/>
        <v>323499128</v>
      </c>
      <c r="AR76" s="391">
        <f t="shared" si="60"/>
        <v>77045450</v>
      </c>
      <c r="AS76" s="391">
        <f t="shared" si="60"/>
        <v>400544578</v>
      </c>
    </row>
    <row r="77" ht="26.25" customHeight="1">
      <c r="B77" s="389"/>
    </row>
    <row r="78" spans="1:45" ht="26.25">
      <c r="A78" s="11" t="s">
        <v>478</v>
      </c>
      <c r="B78" s="393" t="s">
        <v>479</v>
      </c>
      <c r="C78" s="391">
        <f aca="true" t="shared" si="61" ref="C78:AP78">+C53-C76</f>
        <v>21817877</v>
      </c>
      <c r="D78" s="391">
        <f t="shared" si="61"/>
        <v>-13006048</v>
      </c>
      <c r="E78" s="391">
        <f t="shared" si="61"/>
        <v>8811829</v>
      </c>
      <c r="F78" s="391">
        <f t="shared" si="61"/>
        <v>10113151</v>
      </c>
      <c r="G78" s="391">
        <f t="shared" si="61"/>
        <v>-9385956</v>
      </c>
      <c r="H78" s="391">
        <f t="shared" si="61"/>
        <v>727195</v>
      </c>
      <c r="I78" s="391">
        <f t="shared" si="61"/>
        <v>261442</v>
      </c>
      <c r="J78" s="391">
        <f t="shared" si="61"/>
        <v>-7491814</v>
      </c>
      <c r="K78" s="391">
        <f t="shared" si="61"/>
        <v>-7230372</v>
      </c>
      <c r="L78" s="391">
        <f t="shared" si="61"/>
        <v>2308652</v>
      </c>
      <c r="M78" s="391">
        <f t="shared" si="61"/>
        <v>8205400</v>
      </c>
      <c r="N78" s="391">
        <f t="shared" si="61"/>
        <v>-6921500</v>
      </c>
      <c r="O78" s="391">
        <f t="shared" si="61"/>
        <v>1283900</v>
      </c>
      <c r="P78" s="391">
        <f t="shared" si="61"/>
        <v>3418400</v>
      </c>
      <c r="Q78" s="391">
        <f t="shared" si="61"/>
        <v>-1221500</v>
      </c>
      <c r="R78" s="391">
        <f t="shared" si="61"/>
        <v>2196900</v>
      </c>
      <c r="S78" s="391">
        <f t="shared" si="61"/>
        <v>2968400</v>
      </c>
      <c r="T78" s="391">
        <f t="shared" si="61"/>
        <v>-5671500</v>
      </c>
      <c r="U78" s="391">
        <f t="shared" si="61"/>
        <v>-2703100</v>
      </c>
      <c r="V78" s="391">
        <f t="shared" si="61"/>
        <v>777700</v>
      </c>
      <c r="W78" s="391">
        <f t="shared" si="61"/>
        <v>4098400</v>
      </c>
      <c r="X78" s="391">
        <f t="shared" si="61"/>
        <v>-371500</v>
      </c>
      <c r="Y78" s="391">
        <f t="shared" si="61"/>
        <v>3726900</v>
      </c>
      <c r="Z78" s="391">
        <f t="shared" si="61"/>
        <v>3668400</v>
      </c>
      <c r="AA78" s="391">
        <f t="shared" si="61"/>
        <v>-4721500</v>
      </c>
      <c r="AB78" s="391">
        <f t="shared" si="61"/>
        <v>-1053100</v>
      </c>
      <c r="AC78" s="391">
        <f t="shared" si="61"/>
        <v>3378402</v>
      </c>
      <c r="AD78" s="391">
        <f t="shared" si="61"/>
        <v>-3478500</v>
      </c>
      <c r="AE78" s="391">
        <f t="shared" si="61"/>
        <v>-100098</v>
      </c>
      <c r="AF78" s="391">
        <f t="shared" si="61"/>
        <v>2573702</v>
      </c>
      <c r="AG78" s="391">
        <f t="shared" si="61"/>
        <v>2718400</v>
      </c>
      <c r="AH78" s="391">
        <f t="shared" si="61"/>
        <v>-3328500</v>
      </c>
      <c r="AI78" s="391">
        <f t="shared" si="61"/>
        <v>-610100</v>
      </c>
      <c r="AJ78" s="391">
        <f t="shared" si="61"/>
        <v>2958400</v>
      </c>
      <c r="AK78" s="391">
        <f t="shared" si="61"/>
        <v>-2178500</v>
      </c>
      <c r="AL78" s="391">
        <f t="shared" si="61"/>
        <v>779900</v>
      </c>
      <c r="AM78" s="391">
        <f t="shared" si="61"/>
        <v>-23746000</v>
      </c>
      <c r="AN78" s="391">
        <f t="shared" si="61"/>
        <v>18243500</v>
      </c>
      <c r="AO78" s="391">
        <f t="shared" si="61"/>
        <v>-5502500</v>
      </c>
      <c r="AP78" s="391">
        <f t="shared" si="61"/>
        <v>-5332700</v>
      </c>
      <c r="AQ78" s="391">
        <f>C78+F78+I78+M78+P78+S78+W78+Z78+AC78+AG78+AJ78+AM78</f>
        <v>39860672</v>
      </c>
      <c r="AR78" s="391">
        <f>D78+G78+J78+N78+Q78+T78+X78+AA78+AD78+AH78+AK78+AN78</f>
        <v>-39533318</v>
      </c>
      <c r="AS78" s="391">
        <f t="shared" si="17"/>
        <v>327354</v>
      </c>
    </row>
    <row r="79" spans="1:45" ht="26.25">
      <c r="A79" s="11" t="s">
        <v>480</v>
      </c>
      <c r="B79" s="390" t="s">
        <v>481</v>
      </c>
      <c r="C79" s="181"/>
      <c r="D79" s="182"/>
      <c r="E79" s="179">
        <f>E13+E17+E23+E24+E39-E59-E60-E61-E64</f>
        <v>725324</v>
      </c>
      <c r="F79" s="181"/>
      <c r="G79" s="182"/>
      <c r="H79" s="179">
        <f>H13+H17+H23+H24+H39-H59-H60-H61-H64</f>
        <v>227759</v>
      </c>
      <c r="I79" s="181"/>
      <c r="J79" s="182"/>
      <c r="K79" s="179">
        <f>K13+K17+K23+K24+K39-K59-K60-K61-K64</f>
        <v>113382</v>
      </c>
      <c r="L79" s="211">
        <f>SUM(E79,H79,K79)</f>
        <v>1066465</v>
      </c>
      <c r="M79" s="181"/>
      <c r="N79" s="182"/>
      <c r="O79" s="179">
        <f>O13+O17+O23+O24+O39-O59-O60-O61-O64</f>
        <v>171900</v>
      </c>
      <c r="P79" s="181"/>
      <c r="Q79" s="182"/>
      <c r="R79" s="179">
        <f>R13+R17+R23+R24+R39-R59-R60-R61-R64</f>
        <v>171900</v>
      </c>
      <c r="S79" s="181"/>
      <c r="T79" s="182"/>
      <c r="U79" s="179">
        <f>U13+U17+U23+U24+U39-U59-U60-U61-U64</f>
        <v>171900</v>
      </c>
      <c r="V79" s="211">
        <f>SUM(O79,R79,U79)</f>
        <v>515700</v>
      </c>
      <c r="W79" s="181"/>
      <c r="X79" s="182"/>
      <c r="Y79" s="179">
        <f>Y13+Y17+Y23+Y24+Y39-Y59-Y60-Y61-Y64</f>
        <v>171900</v>
      </c>
      <c r="Z79" s="181"/>
      <c r="AA79" s="182"/>
      <c r="AB79" s="179">
        <f>AB13+AB17+AB23+AB24+AB39-AB59-AB60-AB61-AB64</f>
        <v>171900</v>
      </c>
      <c r="AC79" s="181"/>
      <c r="AD79" s="182"/>
      <c r="AE79" s="179">
        <f>AE13+AE17+AE23+AE24+AE39-AE59-AE60-AE61-AE64</f>
        <v>264900</v>
      </c>
      <c r="AF79" s="211">
        <f>SUM(Y79,AB79,AE79)</f>
        <v>608700</v>
      </c>
      <c r="AG79" s="181"/>
      <c r="AH79" s="182"/>
      <c r="AI79" s="179">
        <f>AI13+AI17+AI23+AI24+AI39-AI59-AI60-AI61-AI64</f>
        <v>264900</v>
      </c>
      <c r="AJ79" s="181"/>
      <c r="AK79" s="182"/>
      <c r="AL79" s="179">
        <f>AL13+AL17+AL23+AL24+AL39-AL59-AL60-AL61-AL64</f>
        <v>264900</v>
      </c>
      <c r="AM79" s="181"/>
      <c r="AN79" s="182"/>
      <c r="AO79" s="179">
        <f>AO13+AO17+AO23+AO24+AO39-AO59-AO60-AO61-AO64</f>
        <v>-852500</v>
      </c>
      <c r="AP79" s="211">
        <f>SUM(AI79,AL79,AO79)</f>
        <v>-322700</v>
      </c>
      <c r="AQ79" s="183"/>
      <c r="AR79" s="183"/>
      <c r="AS79" s="183"/>
    </row>
    <row r="80" spans="1:45" ht="26.25">
      <c r="A80" s="11" t="s">
        <v>482</v>
      </c>
      <c r="B80" s="394" t="s">
        <v>483</v>
      </c>
      <c r="C80" s="391">
        <f aca="true" t="shared" si="62" ref="C80:H80">C9+C78</f>
        <v>21817877</v>
      </c>
      <c r="D80" s="391">
        <f t="shared" si="62"/>
        <v>-13006048</v>
      </c>
      <c r="E80" s="391">
        <f t="shared" si="62"/>
        <v>10493254</v>
      </c>
      <c r="F80" s="391">
        <f t="shared" si="62"/>
        <v>10113151</v>
      </c>
      <c r="G80" s="391">
        <f t="shared" si="62"/>
        <v>-9385956</v>
      </c>
      <c r="H80" s="391">
        <f t="shared" si="62"/>
        <v>11220449</v>
      </c>
      <c r="I80" s="391">
        <f aca="true" t="shared" si="63" ref="I80:AN80">I9+I78</f>
        <v>261442</v>
      </c>
      <c r="J80" s="391">
        <f t="shared" si="63"/>
        <v>-7491814</v>
      </c>
      <c r="K80" s="391">
        <f t="shared" si="63"/>
        <v>3990077</v>
      </c>
      <c r="L80" s="391">
        <f t="shared" si="63"/>
        <v>13529101</v>
      </c>
      <c r="M80" s="391">
        <f t="shared" si="63"/>
        <v>8205400</v>
      </c>
      <c r="N80" s="391">
        <f t="shared" si="63"/>
        <v>-6921500</v>
      </c>
      <c r="O80" s="391">
        <f t="shared" si="63"/>
        <v>5273977</v>
      </c>
      <c r="P80" s="391">
        <f t="shared" si="63"/>
        <v>3418400</v>
      </c>
      <c r="Q80" s="391">
        <f t="shared" si="63"/>
        <v>-1221500</v>
      </c>
      <c r="R80" s="391">
        <f t="shared" si="63"/>
        <v>7470877</v>
      </c>
      <c r="S80" s="391">
        <f t="shared" si="63"/>
        <v>2968400</v>
      </c>
      <c r="T80" s="391">
        <f t="shared" si="63"/>
        <v>-5671500</v>
      </c>
      <c r="U80" s="391">
        <f t="shared" si="63"/>
        <v>4767777</v>
      </c>
      <c r="V80" s="391">
        <f t="shared" si="63"/>
        <v>8248577</v>
      </c>
      <c r="W80" s="391">
        <f t="shared" si="63"/>
        <v>4098400</v>
      </c>
      <c r="X80" s="391">
        <f t="shared" si="63"/>
        <v>-371500</v>
      </c>
      <c r="Y80" s="391">
        <f t="shared" si="63"/>
        <v>8494677</v>
      </c>
      <c r="Z80" s="391">
        <f t="shared" si="63"/>
        <v>3668400</v>
      </c>
      <c r="AA80" s="391">
        <f t="shared" si="63"/>
        <v>-4721500</v>
      </c>
      <c r="AB80" s="391">
        <f t="shared" si="63"/>
        <v>7441577</v>
      </c>
      <c r="AC80" s="391">
        <f t="shared" si="63"/>
        <v>3378402</v>
      </c>
      <c r="AD80" s="391">
        <f t="shared" si="63"/>
        <v>-3478500</v>
      </c>
      <c r="AE80" s="391">
        <f t="shared" si="63"/>
        <v>7341479</v>
      </c>
      <c r="AF80" s="391">
        <f t="shared" si="63"/>
        <v>10015279</v>
      </c>
      <c r="AG80" s="391">
        <f t="shared" si="63"/>
        <v>2718400</v>
      </c>
      <c r="AH80" s="391">
        <f t="shared" si="63"/>
        <v>-3328500</v>
      </c>
      <c r="AI80" s="391">
        <f t="shared" si="63"/>
        <v>6731379</v>
      </c>
      <c r="AJ80" s="391">
        <f t="shared" si="63"/>
        <v>2958400</v>
      </c>
      <c r="AK80" s="391">
        <f t="shared" si="63"/>
        <v>-2178500</v>
      </c>
      <c r="AL80" s="391">
        <f t="shared" si="63"/>
        <v>7511279</v>
      </c>
      <c r="AM80" s="391">
        <f t="shared" si="63"/>
        <v>-23746000</v>
      </c>
      <c r="AN80" s="391">
        <f t="shared" si="63"/>
        <v>18243500</v>
      </c>
      <c r="AO80" s="391">
        <f>AO9+AO78</f>
        <v>2008779</v>
      </c>
      <c r="AP80" s="391">
        <f>AP9+AP78</f>
        <v>2178579</v>
      </c>
      <c r="AQ80" s="391">
        <f>AQ9+AQ78</f>
        <v>39860672</v>
      </c>
      <c r="AR80" s="391">
        <f>AR9+AR78</f>
        <v>-39533318</v>
      </c>
      <c r="AS80" s="391">
        <f>AS9+AS78</f>
        <v>327354</v>
      </c>
    </row>
    <row r="81" spans="1:45" ht="26.25">
      <c r="A81" s="11" t="s">
        <v>484</v>
      </c>
      <c r="B81" s="394" t="s">
        <v>485</v>
      </c>
      <c r="C81" s="391">
        <f>+C80-C12+C88+C89</f>
        <v>21817877</v>
      </c>
      <c r="D81" s="391">
        <f>+D80-D12+D88+D89</f>
        <v>-13006048</v>
      </c>
      <c r="E81" s="391">
        <f>+E80-E12+E88+E89</f>
        <v>10493254</v>
      </c>
      <c r="F81" s="391">
        <f aca="true" t="shared" si="64" ref="F81:AP81">+F80-F12+F88+F89</f>
        <v>10113151</v>
      </c>
      <c r="G81" s="391">
        <f t="shared" si="64"/>
        <v>-9385956</v>
      </c>
      <c r="H81" s="391">
        <f t="shared" si="64"/>
        <v>11220449</v>
      </c>
      <c r="I81" s="391">
        <f t="shared" si="64"/>
        <v>261442</v>
      </c>
      <c r="J81" s="391">
        <f t="shared" si="64"/>
        <v>-7491814</v>
      </c>
      <c r="K81" s="391">
        <f t="shared" si="64"/>
        <v>3990077</v>
      </c>
      <c r="L81" s="391">
        <f t="shared" si="64"/>
        <v>13529101</v>
      </c>
      <c r="M81" s="391">
        <f t="shared" si="64"/>
        <v>10279400</v>
      </c>
      <c r="N81" s="391">
        <f t="shared" si="64"/>
        <v>-6921500</v>
      </c>
      <c r="O81" s="391">
        <f t="shared" si="64"/>
        <v>7347977</v>
      </c>
      <c r="P81" s="391">
        <f t="shared" si="64"/>
        <v>4455400</v>
      </c>
      <c r="Q81" s="391">
        <f t="shared" si="64"/>
        <v>-1221500</v>
      </c>
      <c r="R81" s="391">
        <f t="shared" si="64"/>
        <v>8507877</v>
      </c>
      <c r="S81" s="391">
        <f t="shared" si="64"/>
        <v>4005400</v>
      </c>
      <c r="T81" s="391">
        <f t="shared" si="64"/>
        <v>-5671500</v>
      </c>
      <c r="U81" s="391">
        <f t="shared" si="64"/>
        <v>5804777</v>
      </c>
      <c r="V81" s="391">
        <f t="shared" si="64"/>
        <v>12396577</v>
      </c>
      <c r="W81" s="391">
        <f t="shared" si="64"/>
        <v>5135400</v>
      </c>
      <c r="X81" s="391">
        <f t="shared" si="64"/>
        <v>-371500</v>
      </c>
      <c r="Y81" s="391">
        <f t="shared" si="64"/>
        <v>9531677</v>
      </c>
      <c r="Z81" s="391">
        <f t="shared" si="64"/>
        <v>4705400</v>
      </c>
      <c r="AA81" s="391">
        <f t="shared" si="64"/>
        <v>-4721500</v>
      </c>
      <c r="AB81" s="391">
        <f t="shared" si="64"/>
        <v>8478577</v>
      </c>
      <c r="AC81" s="391">
        <f t="shared" si="64"/>
        <v>4415402</v>
      </c>
      <c r="AD81" s="391">
        <f t="shared" si="64"/>
        <v>-3478500</v>
      </c>
      <c r="AE81" s="391">
        <f t="shared" si="64"/>
        <v>8378479</v>
      </c>
      <c r="AF81" s="391">
        <f t="shared" si="64"/>
        <v>13126279</v>
      </c>
      <c r="AG81" s="391">
        <f t="shared" si="64"/>
        <v>3755400</v>
      </c>
      <c r="AH81" s="391">
        <f t="shared" si="64"/>
        <v>-3328500</v>
      </c>
      <c r="AI81" s="391">
        <f t="shared" si="64"/>
        <v>7768379</v>
      </c>
      <c r="AJ81" s="391">
        <f t="shared" si="64"/>
        <v>3995400</v>
      </c>
      <c r="AK81" s="391">
        <f t="shared" si="64"/>
        <v>-2178500</v>
      </c>
      <c r="AL81" s="391">
        <f t="shared" si="64"/>
        <v>8548279</v>
      </c>
      <c r="AM81" s="391">
        <f t="shared" si="64"/>
        <v>-22709000</v>
      </c>
      <c r="AN81" s="391">
        <f t="shared" si="64"/>
        <v>18243500</v>
      </c>
      <c r="AO81" s="391">
        <f t="shared" si="64"/>
        <v>3045779</v>
      </c>
      <c r="AP81" s="391">
        <f t="shared" si="64"/>
        <v>5289579</v>
      </c>
      <c r="AQ81" s="391">
        <f>+AQ80-AQ12+AQ88+AQ89</f>
        <v>50230672</v>
      </c>
      <c r="AR81" s="391">
        <f>+AR80-AR12+AR88+AR89</f>
        <v>-39533318</v>
      </c>
      <c r="AS81" s="391">
        <f>+AS80-AS12+AS88+AS89</f>
        <v>10697354</v>
      </c>
    </row>
    <row r="82" spans="2:45" ht="18.75">
      <c r="B82" s="9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</row>
    <row r="83" spans="1:45" ht="26.25">
      <c r="A83" s="11" t="s">
        <v>486</v>
      </c>
      <c r="B83" s="16" t="s">
        <v>487</v>
      </c>
      <c r="C83" s="181"/>
      <c r="D83" s="182"/>
      <c r="E83" s="123"/>
      <c r="F83" s="181"/>
      <c r="G83" s="182"/>
      <c r="H83" s="123"/>
      <c r="I83" s="181"/>
      <c r="J83" s="182"/>
      <c r="K83" s="123"/>
      <c r="L83" s="184">
        <f>+E83+H83+K83</f>
        <v>0</v>
      </c>
      <c r="M83" s="181"/>
      <c r="N83" s="182"/>
      <c r="O83" s="123"/>
      <c r="P83" s="181"/>
      <c r="Q83" s="182"/>
      <c r="R83" s="123"/>
      <c r="S83" s="181"/>
      <c r="T83" s="182"/>
      <c r="U83" s="123"/>
      <c r="V83" s="184">
        <f>+O83+R83+U83</f>
        <v>0</v>
      </c>
      <c r="W83" s="181"/>
      <c r="X83" s="182"/>
      <c r="Y83" s="123"/>
      <c r="Z83" s="181"/>
      <c r="AA83" s="182"/>
      <c r="AB83" s="123"/>
      <c r="AC83" s="181"/>
      <c r="AD83" s="182"/>
      <c r="AE83" s="123"/>
      <c r="AF83" s="184">
        <f>+Y83+AB83+AE83</f>
        <v>0</v>
      </c>
      <c r="AG83" s="181"/>
      <c r="AH83" s="182"/>
      <c r="AI83" s="123"/>
      <c r="AJ83" s="181"/>
      <c r="AK83" s="182"/>
      <c r="AL83" s="123"/>
      <c r="AM83" s="181"/>
      <c r="AN83" s="182"/>
      <c r="AO83" s="123"/>
      <c r="AP83" s="184">
        <f>+AI83+AL83+AO83</f>
        <v>0</v>
      </c>
      <c r="AQ83" s="181"/>
      <c r="AR83" s="182"/>
      <c r="AS83" s="185">
        <f t="shared" si="17"/>
        <v>0</v>
      </c>
    </row>
    <row r="84" spans="1:45" ht="26.25">
      <c r="A84" s="11" t="s">
        <v>488</v>
      </c>
      <c r="B84" s="16" t="s">
        <v>489</v>
      </c>
      <c r="C84" s="181"/>
      <c r="D84" s="182"/>
      <c r="E84" s="123"/>
      <c r="F84" s="181"/>
      <c r="G84" s="182"/>
      <c r="H84" s="123"/>
      <c r="I84" s="181"/>
      <c r="J84" s="182"/>
      <c r="K84" s="123"/>
      <c r="L84" s="184">
        <f>+E84+H84+K84</f>
        <v>0</v>
      </c>
      <c r="M84" s="181"/>
      <c r="N84" s="182"/>
      <c r="O84" s="123"/>
      <c r="P84" s="181"/>
      <c r="Q84" s="182"/>
      <c r="R84" s="123"/>
      <c r="S84" s="181"/>
      <c r="T84" s="182"/>
      <c r="U84" s="123"/>
      <c r="V84" s="184">
        <f>+O84+R84+U84</f>
        <v>0</v>
      </c>
      <c r="W84" s="181"/>
      <c r="X84" s="182"/>
      <c r="Y84" s="123"/>
      <c r="Z84" s="181"/>
      <c r="AA84" s="182"/>
      <c r="AB84" s="123"/>
      <c r="AC84" s="181"/>
      <c r="AD84" s="182"/>
      <c r="AE84" s="123"/>
      <c r="AF84" s="184">
        <f>+Y84+AB84+AE84</f>
        <v>0</v>
      </c>
      <c r="AG84" s="181"/>
      <c r="AH84" s="182"/>
      <c r="AI84" s="123"/>
      <c r="AJ84" s="181"/>
      <c r="AK84" s="182"/>
      <c r="AL84" s="123"/>
      <c r="AM84" s="181"/>
      <c r="AN84" s="182"/>
      <c r="AO84" s="123"/>
      <c r="AP84" s="184">
        <f>+AI84+AL84+AO84</f>
        <v>0</v>
      </c>
      <c r="AQ84" s="181"/>
      <c r="AR84" s="182"/>
      <c r="AS84" s="185">
        <f>SUM(AQ84:AR84)</f>
        <v>0</v>
      </c>
    </row>
    <row r="85" spans="1:45" ht="26.25">
      <c r="A85" s="11" t="s">
        <v>490</v>
      </c>
      <c r="B85" s="16" t="s">
        <v>491</v>
      </c>
      <c r="C85" s="181"/>
      <c r="D85" s="182"/>
      <c r="E85" s="123"/>
      <c r="F85" s="181"/>
      <c r="G85" s="182"/>
      <c r="H85" s="123"/>
      <c r="I85" s="181"/>
      <c r="J85" s="182"/>
      <c r="K85" s="123"/>
      <c r="L85" s="184">
        <f>+E85+H85+K85</f>
        <v>0</v>
      </c>
      <c r="M85" s="181"/>
      <c r="N85" s="182"/>
      <c r="O85" s="123"/>
      <c r="P85" s="181"/>
      <c r="Q85" s="182"/>
      <c r="R85" s="123"/>
      <c r="S85" s="181"/>
      <c r="T85" s="182"/>
      <c r="U85" s="123"/>
      <c r="V85" s="184">
        <f>+O85+R85+U85</f>
        <v>0</v>
      </c>
      <c r="W85" s="181"/>
      <c r="X85" s="182"/>
      <c r="Y85" s="123"/>
      <c r="Z85" s="181"/>
      <c r="AA85" s="182"/>
      <c r="AB85" s="123"/>
      <c r="AC85" s="181"/>
      <c r="AD85" s="182"/>
      <c r="AE85" s="123"/>
      <c r="AF85" s="184">
        <f>+Y85+AB85+AE85</f>
        <v>0</v>
      </c>
      <c r="AG85" s="181"/>
      <c r="AH85" s="182"/>
      <c r="AI85" s="123"/>
      <c r="AJ85" s="181"/>
      <c r="AK85" s="182"/>
      <c r="AL85" s="123"/>
      <c r="AM85" s="181"/>
      <c r="AN85" s="182"/>
      <c r="AO85" s="123"/>
      <c r="AP85" s="184">
        <f>+AI85+AL85+AO85</f>
        <v>0</v>
      </c>
      <c r="AQ85" s="181"/>
      <c r="AR85" s="182"/>
      <c r="AS85" s="185">
        <f>SUM(AQ85:AR85)</f>
        <v>0</v>
      </c>
    </row>
    <row r="88" spans="1:45" ht="26.25">
      <c r="A88" s="11" t="s">
        <v>492</v>
      </c>
      <c r="B88" s="88" t="s">
        <v>493</v>
      </c>
      <c r="C88" s="398">
        <f>C14+C15+C16</f>
        <v>7716000</v>
      </c>
      <c r="D88" s="398">
        <f aca="true" t="shared" si="65" ref="D88:AS88">D14+D15+D16</f>
        <v>0</v>
      </c>
      <c r="E88" s="398">
        <f>E14+E15+E16</f>
        <v>7716000</v>
      </c>
      <c r="F88" s="398">
        <f>F14+F15+F16</f>
        <v>7716000</v>
      </c>
      <c r="G88" s="398">
        <f t="shared" si="65"/>
        <v>0</v>
      </c>
      <c r="H88" s="398">
        <f t="shared" si="65"/>
        <v>7716000</v>
      </c>
      <c r="I88" s="398">
        <f>I14+I15+I16</f>
        <v>7716000</v>
      </c>
      <c r="J88" s="398">
        <f t="shared" si="65"/>
        <v>0</v>
      </c>
      <c r="K88" s="398">
        <f t="shared" si="65"/>
        <v>7716000</v>
      </c>
      <c r="L88" s="398">
        <f t="shared" si="65"/>
        <v>23148000</v>
      </c>
      <c r="M88" s="398">
        <f t="shared" si="65"/>
        <v>8753000</v>
      </c>
      <c r="N88" s="398">
        <f t="shared" si="65"/>
        <v>0</v>
      </c>
      <c r="O88" s="398">
        <f t="shared" si="65"/>
        <v>8753000</v>
      </c>
      <c r="P88" s="398">
        <f t="shared" si="65"/>
        <v>7716000</v>
      </c>
      <c r="Q88" s="398">
        <f t="shared" si="65"/>
        <v>0</v>
      </c>
      <c r="R88" s="398">
        <f t="shared" si="65"/>
        <v>7716000</v>
      </c>
      <c r="S88" s="398">
        <f t="shared" si="65"/>
        <v>7716000</v>
      </c>
      <c r="T88" s="398">
        <f t="shared" si="65"/>
        <v>0</v>
      </c>
      <c r="U88" s="398">
        <f t="shared" si="65"/>
        <v>7716000</v>
      </c>
      <c r="V88" s="398">
        <f t="shared" si="65"/>
        <v>24185000</v>
      </c>
      <c r="W88" s="398">
        <f t="shared" si="65"/>
        <v>7716000</v>
      </c>
      <c r="X88" s="398">
        <f t="shared" si="65"/>
        <v>3500000</v>
      </c>
      <c r="Y88" s="398">
        <f t="shared" si="65"/>
        <v>11216000</v>
      </c>
      <c r="Z88" s="398">
        <f t="shared" si="65"/>
        <v>7716000</v>
      </c>
      <c r="AA88" s="398">
        <f t="shared" si="65"/>
        <v>0</v>
      </c>
      <c r="AB88" s="398">
        <f t="shared" si="65"/>
        <v>7716000</v>
      </c>
      <c r="AC88" s="398">
        <f t="shared" si="65"/>
        <v>7716000</v>
      </c>
      <c r="AD88" s="398">
        <f t="shared" si="65"/>
        <v>0</v>
      </c>
      <c r="AE88" s="398">
        <f t="shared" si="65"/>
        <v>7716000</v>
      </c>
      <c r="AF88" s="398">
        <f t="shared" si="65"/>
        <v>26648000</v>
      </c>
      <c r="AG88" s="398">
        <f t="shared" si="65"/>
        <v>7716000</v>
      </c>
      <c r="AH88" s="398">
        <f t="shared" si="65"/>
        <v>0</v>
      </c>
      <c r="AI88" s="398">
        <f t="shared" si="65"/>
        <v>7716000</v>
      </c>
      <c r="AJ88" s="398">
        <f t="shared" si="65"/>
        <v>7716000</v>
      </c>
      <c r="AK88" s="398">
        <f t="shared" si="65"/>
        <v>0</v>
      </c>
      <c r="AL88" s="398">
        <f t="shared" si="65"/>
        <v>7716000</v>
      </c>
      <c r="AM88" s="398">
        <f t="shared" si="65"/>
        <v>7716000</v>
      </c>
      <c r="AN88" s="398">
        <f t="shared" si="65"/>
        <v>7500000</v>
      </c>
      <c r="AO88" s="398">
        <f t="shared" si="65"/>
        <v>15216000</v>
      </c>
      <c r="AP88" s="398">
        <f t="shared" si="65"/>
        <v>30648000</v>
      </c>
      <c r="AQ88" s="398">
        <f t="shared" si="65"/>
        <v>93629000</v>
      </c>
      <c r="AR88" s="398">
        <f t="shared" si="65"/>
        <v>11000000</v>
      </c>
      <c r="AS88" s="399">
        <f t="shared" si="65"/>
        <v>104629000</v>
      </c>
    </row>
    <row r="89" spans="1:45" ht="26.25">
      <c r="A89" s="11" t="s">
        <v>494</v>
      </c>
      <c r="B89" s="88" t="s">
        <v>495</v>
      </c>
      <c r="C89" s="398">
        <f>C13-C59</f>
        <v>1595000</v>
      </c>
      <c r="D89" s="398">
        <f aca="true" t="shared" si="66" ref="D89:AS89">D13-D59</f>
        <v>0</v>
      </c>
      <c r="E89" s="398">
        <f>E13-E59</f>
        <v>1595000</v>
      </c>
      <c r="F89" s="398">
        <f t="shared" si="66"/>
        <v>1595000</v>
      </c>
      <c r="G89" s="398">
        <f t="shared" si="66"/>
        <v>0</v>
      </c>
      <c r="H89" s="398">
        <f t="shared" si="66"/>
        <v>1595000</v>
      </c>
      <c r="I89" s="398">
        <f>I13-I59</f>
        <v>1595000</v>
      </c>
      <c r="J89" s="398">
        <f t="shared" si="66"/>
        <v>0</v>
      </c>
      <c r="K89" s="398">
        <f t="shared" si="66"/>
        <v>1595000</v>
      </c>
      <c r="L89" s="398">
        <f t="shared" si="66"/>
        <v>4785000</v>
      </c>
      <c r="M89" s="398">
        <f t="shared" si="66"/>
        <v>1595000</v>
      </c>
      <c r="N89" s="398">
        <f t="shared" si="66"/>
        <v>0</v>
      </c>
      <c r="O89" s="398">
        <f t="shared" si="66"/>
        <v>1595000</v>
      </c>
      <c r="P89" s="398">
        <f t="shared" si="66"/>
        <v>1595000</v>
      </c>
      <c r="Q89" s="398">
        <f t="shared" si="66"/>
        <v>0</v>
      </c>
      <c r="R89" s="398">
        <f t="shared" si="66"/>
        <v>1595000</v>
      </c>
      <c r="S89" s="398">
        <f t="shared" si="66"/>
        <v>1595000</v>
      </c>
      <c r="T89" s="398">
        <f t="shared" si="66"/>
        <v>0</v>
      </c>
      <c r="U89" s="398">
        <f t="shared" si="66"/>
        <v>1595000</v>
      </c>
      <c r="V89" s="398">
        <f t="shared" si="66"/>
        <v>4785000</v>
      </c>
      <c r="W89" s="398">
        <f t="shared" si="66"/>
        <v>1595000</v>
      </c>
      <c r="X89" s="398">
        <f t="shared" si="66"/>
        <v>0</v>
      </c>
      <c r="Y89" s="398">
        <f t="shared" si="66"/>
        <v>1595000</v>
      </c>
      <c r="Z89" s="398">
        <f t="shared" si="66"/>
        <v>1595000</v>
      </c>
      <c r="AA89" s="398">
        <f t="shared" si="66"/>
        <v>0</v>
      </c>
      <c r="AB89" s="398">
        <f t="shared" si="66"/>
        <v>1595000</v>
      </c>
      <c r="AC89" s="398">
        <f t="shared" si="66"/>
        <v>1595000</v>
      </c>
      <c r="AD89" s="398">
        <f t="shared" si="66"/>
        <v>0</v>
      </c>
      <c r="AE89" s="398">
        <f t="shared" si="66"/>
        <v>1595000</v>
      </c>
      <c r="AF89" s="398">
        <f t="shared" si="66"/>
        <v>4785000</v>
      </c>
      <c r="AG89" s="398">
        <f t="shared" si="66"/>
        <v>1595000</v>
      </c>
      <c r="AH89" s="398">
        <f t="shared" si="66"/>
        <v>0</v>
      </c>
      <c r="AI89" s="398">
        <f t="shared" si="66"/>
        <v>1595000</v>
      </c>
      <c r="AJ89" s="398">
        <f t="shared" si="66"/>
        <v>1595000</v>
      </c>
      <c r="AK89" s="398">
        <f t="shared" si="66"/>
        <v>0</v>
      </c>
      <c r="AL89" s="398">
        <f t="shared" si="66"/>
        <v>1595000</v>
      </c>
      <c r="AM89" s="398">
        <f t="shared" si="66"/>
        <v>1595000</v>
      </c>
      <c r="AN89" s="398">
        <f t="shared" si="66"/>
        <v>0</v>
      </c>
      <c r="AO89" s="398">
        <f t="shared" si="66"/>
        <v>1595000</v>
      </c>
      <c r="AP89" s="398">
        <f t="shared" si="66"/>
        <v>4785000</v>
      </c>
      <c r="AQ89" s="398">
        <f t="shared" si="66"/>
        <v>19140000</v>
      </c>
      <c r="AR89" s="398">
        <f t="shared" si="66"/>
        <v>0</v>
      </c>
      <c r="AS89" s="399">
        <f t="shared" si="66"/>
        <v>19140000</v>
      </c>
    </row>
    <row r="90" spans="1:45" ht="26.25">
      <c r="A90" s="11" t="s">
        <v>496</v>
      </c>
      <c r="B90" s="88" t="s">
        <v>497</v>
      </c>
      <c r="C90" s="398">
        <f>C88</f>
        <v>7716000</v>
      </c>
      <c r="D90" s="398">
        <f aca="true" t="shared" si="67" ref="D90:AS90">D88</f>
        <v>0</v>
      </c>
      <c r="E90" s="398">
        <f>E88</f>
        <v>7716000</v>
      </c>
      <c r="F90" s="398">
        <f>F88</f>
        <v>7716000</v>
      </c>
      <c r="G90" s="398">
        <f t="shared" si="67"/>
        <v>0</v>
      </c>
      <c r="H90" s="398">
        <f t="shared" si="67"/>
        <v>7716000</v>
      </c>
      <c r="I90" s="398">
        <f>I88</f>
        <v>7716000</v>
      </c>
      <c r="J90" s="398">
        <f t="shared" si="67"/>
        <v>0</v>
      </c>
      <c r="K90" s="398">
        <f>K88</f>
        <v>7716000</v>
      </c>
      <c r="L90" s="398">
        <f t="shared" si="67"/>
        <v>23148000</v>
      </c>
      <c r="M90" s="398">
        <f t="shared" si="67"/>
        <v>8753000</v>
      </c>
      <c r="N90" s="398">
        <f t="shared" si="67"/>
        <v>0</v>
      </c>
      <c r="O90" s="398">
        <f t="shared" si="67"/>
        <v>8753000</v>
      </c>
      <c r="P90" s="398">
        <f t="shared" si="67"/>
        <v>7716000</v>
      </c>
      <c r="Q90" s="398">
        <f t="shared" si="67"/>
        <v>0</v>
      </c>
      <c r="R90" s="398">
        <f t="shared" si="67"/>
        <v>7716000</v>
      </c>
      <c r="S90" s="398">
        <f t="shared" si="67"/>
        <v>7716000</v>
      </c>
      <c r="T90" s="398">
        <f t="shared" si="67"/>
        <v>0</v>
      </c>
      <c r="U90" s="398">
        <f t="shared" si="67"/>
        <v>7716000</v>
      </c>
      <c r="V90" s="398">
        <f t="shared" si="67"/>
        <v>24185000</v>
      </c>
      <c r="W90" s="398">
        <f t="shared" si="67"/>
        <v>7716000</v>
      </c>
      <c r="X90" s="398">
        <f t="shared" si="67"/>
        <v>3500000</v>
      </c>
      <c r="Y90" s="398">
        <f t="shared" si="67"/>
        <v>11216000</v>
      </c>
      <c r="Z90" s="398">
        <f t="shared" si="67"/>
        <v>7716000</v>
      </c>
      <c r="AA90" s="398">
        <f t="shared" si="67"/>
        <v>0</v>
      </c>
      <c r="AB90" s="398">
        <f t="shared" si="67"/>
        <v>7716000</v>
      </c>
      <c r="AC90" s="398">
        <f t="shared" si="67"/>
        <v>7716000</v>
      </c>
      <c r="AD90" s="398">
        <f t="shared" si="67"/>
        <v>0</v>
      </c>
      <c r="AE90" s="398">
        <f t="shared" si="67"/>
        <v>7716000</v>
      </c>
      <c r="AF90" s="398">
        <f t="shared" si="67"/>
        <v>26648000</v>
      </c>
      <c r="AG90" s="398">
        <f t="shared" si="67"/>
        <v>7716000</v>
      </c>
      <c r="AH90" s="398">
        <f t="shared" si="67"/>
        <v>0</v>
      </c>
      <c r="AI90" s="398">
        <f t="shared" si="67"/>
        <v>7716000</v>
      </c>
      <c r="AJ90" s="398">
        <f t="shared" si="67"/>
        <v>7716000</v>
      </c>
      <c r="AK90" s="398">
        <f t="shared" si="67"/>
        <v>0</v>
      </c>
      <c r="AL90" s="398">
        <f t="shared" si="67"/>
        <v>7716000</v>
      </c>
      <c r="AM90" s="398">
        <f t="shared" si="67"/>
        <v>7716000</v>
      </c>
      <c r="AN90" s="398">
        <f t="shared" si="67"/>
        <v>7500000</v>
      </c>
      <c r="AO90" s="398">
        <f t="shared" si="67"/>
        <v>15216000</v>
      </c>
      <c r="AP90" s="398">
        <f t="shared" si="67"/>
        <v>30648000</v>
      </c>
      <c r="AQ90" s="398">
        <f t="shared" si="67"/>
        <v>93629000</v>
      </c>
      <c r="AR90" s="398">
        <f t="shared" si="67"/>
        <v>11000000</v>
      </c>
      <c r="AS90" s="399">
        <f t="shared" si="67"/>
        <v>104629000</v>
      </c>
    </row>
    <row r="91" spans="1:45" ht="26.25">
      <c r="A91" s="11" t="s">
        <v>498</v>
      </c>
      <c r="B91" s="88" t="s">
        <v>499</v>
      </c>
      <c r="C91" s="398">
        <f>C13</f>
        <v>1595000</v>
      </c>
      <c r="D91" s="398">
        <f aca="true" t="shared" si="68" ref="D91:AS91">D13</f>
        <v>0</v>
      </c>
      <c r="E91" s="398">
        <f>E13</f>
        <v>1595000</v>
      </c>
      <c r="F91" s="398">
        <f t="shared" si="68"/>
        <v>1595000</v>
      </c>
      <c r="G91" s="398">
        <f t="shared" si="68"/>
        <v>0</v>
      </c>
      <c r="H91" s="398">
        <f t="shared" si="68"/>
        <v>1595000</v>
      </c>
      <c r="I91" s="398">
        <f>I13</f>
        <v>1595000</v>
      </c>
      <c r="J91" s="398">
        <f t="shared" si="68"/>
        <v>0</v>
      </c>
      <c r="K91" s="398">
        <f t="shared" si="68"/>
        <v>1595000</v>
      </c>
      <c r="L91" s="398">
        <f t="shared" si="68"/>
        <v>4785000</v>
      </c>
      <c r="M91" s="398">
        <f t="shared" si="68"/>
        <v>1595000</v>
      </c>
      <c r="N91" s="398">
        <f t="shared" si="68"/>
        <v>0</v>
      </c>
      <c r="O91" s="398">
        <f t="shared" si="68"/>
        <v>1595000</v>
      </c>
      <c r="P91" s="398">
        <f t="shared" si="68"/>
        <v>1595000</v>
      </c>
      <c r="Q91" s="398">
        <f t="shared" si="68"/>
        <v>0</v>
      </c>
      <c r="R91" s="398">
        <f t="shared" si="68"/>
        <v>1595000</v>
      </c>
      <c r="S91" s="398">
        <f t="shared" si="68"/>
        <v>1595000</v>
      </c>
      <c r="T91" s="398">
        <f t="shared" si="68"/>
        <v>0</v>
      </c>
      <c r="U91" s="398">
        <f t="shared" si="68"/>
        <v>1595000</v>
      </c>
      <c r="V91" s="398">
        <f t="shared" si="68"/>
        <v>4785000</v>
      </c>
      <c r="W91" s="398">
        <f t="shared" si="68"/>
        <v>1595000</v>
      </c>
      <c r="X91" s="398">
        <f t="shared" si="68"/>
        <v>0</v>
      </c>
      <c r="Y91" s="398">
        <f t="shared" si="68"/>
        <v>1595000</v>
      </c>
      <c r="Z91" s="398">
        <f t="shared" si="68"/>
        <v>1595000</v>
      </c>
      <c r="AA91" s="398">
        <f t="shared" si="68"/>
        <v>0</v>
      </c>
      <c r="AB91" s="398">
        <f t="shared" si="68"/>
        <v>1595000</v>
      </c>
      <c r="AC91" s="398">
        <f t="shared" si="68"/>
        <v>1595000</v>
      </c>
      <c r="AD91" s="398">
        <f t="shared" si="68"/>
        <v>0</v>
      </c>
      <c r="AE91" s="398">
        <f t="shared" si="68"/>
        <v>1595000</v>
      </c>
      <c r="AF91" s="398">
        <f t="shared" si="68"/>
        <v>4785000</v>
      </c>
      <c r="AG91" s="398">
        <f t="shared" si="68"/>
        <v>1595000</v>
      </c>
      <c r="AH91" s="398">
        <f t="shared" si="68"/>
        <v>0</v>
      </c>
      <c r="AI91" s="398">
        <f t="shared" si="68"/>
        <v>1595000</v>
      </c>
      <c r="AJ91" s="398">
        <f t="shared" si="68"/>
        <v>1595000</v>
      </c>
      <c r="AK91" s="398">
        <f t="shared" si="68"/>
        <v>0</v>
      </c>
      <c r="AL91" s="398">
        <f t="shared" si="68"/>
        <v>1595000</v>
      </c>
      <c r="AM91" s="398">
        <f t="shared" si="68"/>
        <v>1595000</v>
      </c>
      <c r="AN91" s="398">
        <f t="shared" si="68"/>
        <v>0</v>
      </c>
      <c r="AO91" s="398">
        <f t="shared" si="68"/>
        <v>1595000</v>
      </c>
      <c r="AP91" s="398">
        <f t="shared" si="68"/>
        <v>4785000</v>
      </c>
      <c r="AQ91" s="398">
        <f t="shared" si="68"/>
        <v>19140000</v>
      </c>
      <c r="AR91" s="398">
        <f t="shared" si="68"/>
        <v>0</v>
      </c>
      <c r="AS91" s="399">
        <f t="shared" si="68"/>
        <v>19140000</v>
      </c>
    </row>
    <row r="92" spans="2:45" ht="26.25">
      <c r="B92" s="186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8"/>
      <c r="AR92" s="188"/>
      <c r="AS92" s="188"/>
    </row>
    <row r="93" spans="1:45" ht="26.25">
      <c r="A93" s="11" t="s">
        <v>500</v>
      </c>
      <c r="B93" s="12" t="s">
        <v>501</v>
      </c>
      <c r="C93" s="399">
        <f aca="true" t="shared" si="69" ref="C93:AS93">C17</f>
        <v>0</v>
      </c>
      <c r="D93" s="399">
        <f t="shared" si="69"/>
        <v>0</v>
      </c>
      <c r="E93" s="399">
        <f t="shared" si="69"/>
        <v>0</v>
      </c>
      <c r="F93" s="399">
        <f t="shared" si="69"/>
        <v>0</v>
      </c>
      <c r="G93" s="399">
        <f t="shared" si="69"/>
        <v>0</v>
      </c>
      <c r="H93" s="399">
        <f t="shared" si="69"/>
        <v>0</v>
      </c>
      <c r="I93" s="399">
        <f t="shared" si="69"/>
        <v>0</v>
      </c>
      <c r="J93" s="399">
        <f t="shared" si="69"/>
        <v>0</v>
      </c>
      <c r="K93" s="399">
        <f t="shared" si="69"/>
        <v>0</v>
      </c>
      <c r="L93" s="399">
        <f t="shared" si="69"/>
        <v>0</v>
      </c>
      <c r="M93" s="399">
        <f t="shared" si="69"/>
        <v>0</v>
      </c>
      <c r="N93" s="399">
        <f t="shared" si="69"/>
        <v>0</v>
      </c>
      <c r="O93" s="399">
        <f t="shared" si="69"/>
        <v>0</v>
      </c>
      <c r="P93" s="399">
        <f t="shared" si="69"/>
        <v>0</v>
      </c>
      <c r="Q93" s="399">
        <f t="shared" si="69"/>
        <v>0</v>
      </c>
      <c r="R93" s="399">
        <f t="shared" si="69"/>
        <v>0</v>
      </c>
      <c r="S93" s="399">
        <f t="shared" si="69"/>
        <v>0</v>
      </c>
      <c r="T93" s="399">
        <f t="shared" si="69"/>
        <v>0</v>
      </c>
      <c r="U93" s="399">
        <f t="shared" si="69"/>
        <v>0</v>
      </c>
      <c r="V93" s="399">
        <f t="shared" si="69"/>
        <v>0</v>
      </c>
      <c r="W93" s="399">
        <f t="shared" si="69"/>
        <v>0</v>
      </c>
      <c r="X93" s="399">
        <f t="shared" si="69"/>
        <v>0</v>
      </c>
      <c r="Y93" s="399">
        <f t="shared" si="69"/>
        <v>0</v>
      </c>
      <c r="Z93" s="399">
        <f t="shared" si="69"/>
        <v>0</v>
      </c>
      <c r="AA93" s="399">
        <f t="shared" si="69"/>
        <v>0</v>
      </c>
      <c r="AB93" s="399">
        <f t="shared" si="69"/>
        <v>0</v>
      </c>
      <c r="AC93" s="399">
        <f t="shared" si="69"/>
        <v>0</v>
      </c>
      <c r="AD93" s="399">
        <f t="shared" si="69"/>
        <v>0</v>
      </c>
      <c r="AE93" s="399">
        <f t="shared" si="69"/>
        <v>0</v>
      </c>
      <c r="AF93" s="399">
        <f t="shared" si="69"/>
        <v>0</v>
      </c>
      <c r="AG93" s="399">
        <f t="shared" si="69"/>
        <v>0</v>
      </c>
      <c r="AH93" s="399">
        <f t="shared" si="69"/>
        <v>0</v>
      </c>
      <c r="AI93" s="399">
        <f t="shared" si="69"/>
        <v>0</v>
      </c>
      <c r="AJ93" s="399">
        <f t="shared" si="69"/>
        <v>0</v>
      </c>
      <c r="AK93" s="399">
        <f t="shared" si="69"/>
        <v>0</v>
      </c>
      <c r="AL93" s="399">
        <f t="shared" si="69"/>
        <v>0</v>
      </c>
      <c r="AM93" s="399">
        <f t="shared" si="69"/>
        <v>0</v>
      </c>
      <c r="AN93" s="399">
        <f t="shared" si="69"/>
        <v>0</v>
      </c>
      <c r="AO93" s="399">
        <f t="shared" si="69"/>
        <v>0</v>
      </c>
      <c r="AP93" s="399">
        <f t="shared" si="69"/>
        <v>0</v>
      </c>
      <c r="AQ93" s="399">
        <f t="shared" si="69"/>
        <v>0</v>
      </c>
      <c r="AR93" s="399">
        <f t="shared" si="69"/>
        <v>0</v>
      </c>
      <c r="AS93" s="399">
        <f t="shared" si="69"/>
        <v>0</v>
      </c>
    </row>
    <row r="94" spans="2:45" ht="26.25"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8"/>
      <c r="AR94" s="188"/>
      <c r="AS94" s="188"/>
    </row>
    <row r="95" spans="1:45" ht="26.25">
      <c r="A95" s="11" t="s">
        <v>502</v>
      </c>
      <c r="B95" s="12" t="s">
        <v>503</v>
      </c>
      <c r="C95" s="399">
        <f aca="true" t="shared" si="70" ref="C95:AS95">C91+C93+C90</f>
        <v>9311000</v>
      </c>
      <c r="D95" s="399">
        <f t="shared" si="70"/>
        <v>0</v>
      </c>
      <c r="E95" s="399">
        <f t="shared" si="70"/>
        <v>9311000</v>
      </c>
      <c r="F95" s="399">
        <f t="shared" si="70"/>
        <v>9311000</v>
      </c>
      <c r="G95" s="399">
        <f t="shared" si="70"/>
        <v>0</v>
      </c>
      <c r="H95" s="399">
        <f t="shared" si="70"/>
        <v>9311000</v>
      </c>
      <c r="I95" s="399">
        <f t="shared" si="70"/>
        <v>9311000</v>
      </c>
      <c r="J95" s="399">
        <f t="shared" si="70"/>
        <v>0</v>
      </c>
      <c r="K95" s="399">
        <f t="shared" si="70"/>
        <v>9311000</v>
      </c>
      <c r="L95" s="399">
        <f t="shared" si="70"/>
        <v>27933000</v>
      </c>
      <c r="M95" s="399">
        <f t="shared" si="70"/>
        <v>10348000</v>
      </c>
      <c r="N95" s="399">
        <f t="shared" si="70"/>
        <v>0</v>
      </c>
      <c r="O95" s="399">
        <f t="shared" si="70"/>
        <v>10348000</v>
      </c>
      <c r="P95" s="399">
        <f t="shared" si="70"/>
        <v>9311000</v>
      </c>
      <c r="Q95" s="399">
        <f t="shared" si="70"/>
        <v>0</v>
      </c>
      <c r="R95" s="399">
        <f t="shared" si="70"/>
        <v>9311000</v>
      </c>
      <c r="S95" s="399">
        <f t="shared" si="70"/>
        <v>9311000</v>
      </c>
      <c r="T95" s="399">
        <f t="shared" si="70"/>
        <v>0</v>
      </c>
      <c r="U95" s="399">
        <f t="shared" si="70"/>
        <v>9311000</v>
      </c>
      <c r="V95" s="399">
        <f t="shared" si="70"/>
        <v>28970000</v>
      </c>
      <c r="W95" s="399">
        <f t="shared" si="70"/>
        <v>9311000</v>
      </c>
      <c r="X95" s="399">
        <f t="shared" si="70"/>
        <v>3500000</v>
      </c>
      <c r="Y95" s="399">
        <f t="shared" si="70"/>
        <v>12811000</v>
      </c>
      <c r="Z95" s="399">
        <f t="shared" si="70"/>
        <v>9311000</v>
      </c>
      <c r="AA95" s="399">
        <f t="shared" si="70"/>
        <v>0</v>
      </c>
      <c r="AB95" s="399">
        <f t="shared" si="70"/>
        <v>9311000</v>
      </c>
      <c r="AC95" s="399">
        <f t="shared" si="70"/>
        <v>9311000</v>
      </c>
      <c r="AD95" s="399">
        <f t="shared" si="70"/>
        <v>0</v>
      </c>
      <c r="AE95" s="399">
        <f t="shared" si="70"/>
        <v>9311000</v>
      </c>
      <c r="AF95" s="399">
        <f t="shared" si="70"/>
        <v>31433000</v>
      </c>
      <c r="AG95" s="399">
        <f t="shared" si="70"/>
        <v>9311000</v>
      </c>
      <c r="AH95" s="399">
        <f t="shared" si="70"/>
        <v>0</v>
      </c>
      <c r="AI95" s="399">
        <f t="shared" si="70"/>
        <v>9311000</v>
      </c>
      <c r="AJ95" s="399">
        <f t="shared" si="70"/>
        <v>9311000</v>
      </c>
      <c r="AK95" s="399">
        <f t="shared" si="70"/>
        <v>0</v>
      </c>
      <c r="AL95" s="399">
        <f t="shared" si="70"/>
        <v>9311000</v>
      </c>
      <c r="AM95" s="399">
        <f t="shared" si="70"/>
        <v>9311000</v>
      </c>
      <c r="AN95" s="399">
        <f t="shared" si="70"/>
        <v>7500000</v>
      </c>
      <c r="AO95" s="399">
        <f t="shared" si="70"/>
        <v>16811000</v>
      </c>
      <c r="AP95" s="399">
        <f t="shared" si="70"/>
        <v>35433000</v>
      </c>
      <c r="AQ95" s="399">
        <f t="shared" si="70"/>
        <v>112769000</v>
      </c>
      <c r="AR95" s="399">
        <f t="shared" si="70"/>
        <v>11000000</v>
      </c>
      <c r="AS95" s="399">
        <f t="shared" si="70"/>
        <v>123769000</v>
      </c>
    </row>
  </sheetData>
  <sheetProtection password="A01C" sheet="1"/>
  <mergeCells count="24">
    <mergeCell ref="AM7:AO7"/>
    <mergeCell ref="M6:V6"/>
    <mergeCell ref="M7:O7"/>
    <mergeCell ref="P7:R7"/>
    <mergeCell ref="S7:U7"/>
    <mergeCell ref="AF7:AF8"/>
    <mergeCell ref="C6:L6"/>
    <mergeCell ref="AC7:AE7"/>
    <mergeCell ref="B7:B8"/>
    <mergeCell ref="C7:E7"/>
    <mergeCell ref="F7:H7"/>
    <mergeCell ref="I7:K7"/>
    <mergeCell ref="L7:L8"/>
    <mergeCell ref="V7:V8"/>
    <mergeCell ref="AP7:AP8"/>
    <mergeCell ref="AR6:AR8"/>
    <mergeCell ref="AS6:AS8"/>
    <mergeCell ref="W6:AF6"/>
    <mergeCell ref="AG6:AP6"/>
    <mergeCell ref="W7:Y7"/>
    <mergeCell ref="Z7:AB7"/>
    <mergeCell ref="AQ6:AQ8"/>
    <mergeCell ref="AG7:AI7"/>
    <mergeCell ref="AJ7:AL7"/>
  </mergeCells>
  <printOptions/>
  <pageMargins left="0.2362204724409449" right="0.1968503937007874" top="0.35433070866141736" bottom="0.35433070866141736" header="0.15748031496062992" footer="0.1968503937007874"/>
  <pageSetup fitToWidth="11" fitToHeight="1" horizontalDpi="600" verticalDpi="600" orientation="landscape" paperSize="8" scale="29" r:id="rId1"/>
  <headerFooter>
    <oddHeader>&amp;L&amp;14&amp;K000000Piano di cassa dei flussi prospettici&amp;R&amp;14&amp;D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showGridLines="0" zoomScale="70" zoomScaleNormal="70" zoomScalePageLayoutView="0" workbookViewId="0" topLeftCell="B7">
      <selection activeCell="C10" sqref="C10"/>
    </sheetView>
  </sheetViews>
  <sheetFormatPr defaultColWidth="9.140625" defaultRowHeight="15"/>
  <cols>
    <col min="1" max="1" width="10.7109375" style="52" hidden="1" customWidth="1"/>
    <col min="2" max="2" width="99.8515625" style="52" customWidth="1"/>
    <col min="3" max="6" width="40.7109375" style="52" customWidth="1"/>
    <col min="7" max="7" width="17.7109375" style="52" customWidth="1"/>
    <col min="8" max="8" width="12.140625" style="377" customWidth="1"/>
    <col min="9" max="9" width="20.140625" style="52" hidden="1" customWidth="1"/>
    <col min="10" max="10" width="35.7109375" style="377" customWidth="1"/>
    <col min="11" max="11" width="30.00390625" style="52" customWidth="1"/>
    <col min="12" max="12" width="32.8515625" style="52" customWidth="1"/>
    <col min="13" max="13" width="30.00390625" style="52" customWidth="1"/>
    <col min="14" max="14" width="31.7109375" style="52" customWidth="1"/>
    <col min="15" max="15" width="25.140625" style="52" customWidth="1"/>
    <col min="16" max="16" width="30.00390625" style="52" customWidth="1"/>
    <col min="17" max="17" width="36.28125" style="52" customWidth="1"/>
    <col min="18" max="18" width="30.00390625" style="52" customWidth="1"/>
    <col min="19" max="19" width="32.7109375" style="52" customWidth="1"/>
    <col min="20" max="16384" width="9.140625" style="52" customWidth="1"/>
  </cols>
  <sheetData>
    <row r="1" spans="16:19" ht="15">
      <c r="P1" s="369">
        <v>0</v>
      </c>
      <c r="Q1" s="369">
        <v>0</v>
      </c>
      <c r="R1" s="369">
        <v>0</v>
      </c>
      <c r="S1" s="370">
        <v>0</v>
      </c>
    </row>
    <row r="2" spans="2:19" ht="18.75">
      <c r="B2" s="132" t="s">
        <v>330</v>
      </c>
      <c r="C2" s="133" t="s">
        <v>331</v>
      </c>
      <c r="P2" s="369">
        <v>0</v>
      </c>
      <c r="Q2" s="369">
        <v>0</v>
      </c>
      <c r="R2" s="369">
        <v>0</v>
      </c>
      <c r="S2" s="370">
        <v>0</v>
      </c>
    </row>
    <row r="3" spans="2:19" ht="26.25">
      <c r="B3" s="134" t="str">
        <f>Info!$C$2</f>
        <v>ASST SANTI PAOLO E CARLO</v>
      </c>
      <c r="C3" s="134" t="str">
        <f>Info!$B$2</f>
        <v>702</v>
      </c>
      <c r="P3" s="369">
        <v>0</v>
      </c>
      <c r="Q3" s="369">
        <v>0</v>
      </c>
      <c r="R3" s="369">
        <v>0</v>
      </c>
      <c r="S3" s="370">
        <v>0</v>
      </c>
    </row>
    <row r="4" spans="16:19" ht="15">
      <c r="P4" s="369">
        <v>0</v>
      </c>
      <c r="Q4" s="369">
        <v>0</v>
      </c>
      <c r="R4" s="369">
        <v>0</v>
      </c>
      <c r="S4" s="370">
        <v>0</v>
      </c>
    </row>
    <row r="5" spans="2:43" s="56" customFormat="1" ht="26.25" customHeight="1">
      <c r="B5" s="134" t="s">
        <v>504</v>
      </c>
      <c r="C5" s="58"/>
      <c r="D5" s="58"/>
      <c r="E5" s="58"/>
      <c r="F5" s="58"/>
      <c r="G5" s="58"/>
      <c r="H5" s="378"/>
      <c r="I5" s="58"/>
      <c r="J5" s="378"/>
      <c r="K5" s="509" t="s">
        <v>505</v>
      </c>
      <c r="L5" s="510"/>
      <c r="M5" s="510"/>
      <c r="N5" s="510"/>
      <c r="O5" s="510"/>
      <c r="P5" s="510"/>
      <c r="Q5" s="510"/>
      <c r="R5" s="510"/>
      <c r="S5" s="510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6:19" ht="15">
      <c r="P6" s="369">
        <v>0</v>
      </c>
      <c r="Q6" s="369">
        <v>0</v>
      </c>
      <c r="R6" s="369">
        <v>0</v>
      </c>
      <c r="S6" s="370">
        <v>0</v>
      </c>
    </row>
    <row r="7" spans="2:19" ht="49.5" customHeight="1">
      <c r="B7" s="59" t="s">
        <v>506</v>
      </c>
      <c r="J7" s="409" t="str">
        <f>IF(OR($C$13&lt;=0,$C$14&lt;=0,$C$22&lt;=0,$C$23&lt;=0,$M$22&lt;=0,$M$23&lt;=0,$R$22&lt;=0,$R$23&lt;=0),"Lo split payment non è stato indicato","Lo split payment è stato indicato")</f>
        <v>Lo split payment è stato indicato</v>
      </c>
      <c r="K7" s="411" t="s">
        <v>507</v>
      </c>
      <c r="P7" s="369">
        <v>0</v>
      </c>
      <c r="Q7" s="369">
        <v>0</v>
      </c>
      <c r="R7" s="369">
        <v>0</v>
      </c>
      <c r="S7" s="370">
        <v>0</v>
      </c>
    </row>
    <row r="8" spans="16:19" ht="15.75" thickBot="1">
      <c r="P8" s="369"/>
      <c r="Q8" s="369"/>
      <c r="R8" s="369"/>
      <c r="S8" s="369"/>
    </row>
    <row r="9" spans="2:19" s="60" customFormat="1" ht="87.75" customHeight="1">
      <c r="B9" s="61" t="s">
        <v>508</v>
      </c>
      <c r="C9" s="333" t="s">
        <v>509</v>
      </c>
      <c r="D9" s="334" t="s">
        <v>510</v>
      </c>
      <c r="E9" s="335" t="s">
        <v>511</v>
      </c>
      <c r="F9" s="336" t="s">
        <v>512</v>
      </c>
      <c r="G9" s="337" t="s">
        <v>513</v>
      </c>
      <c r="H9" s="379"/>
      <c r="I9" s="64" t="s">
        <v>514</v>
      </c>
      <c r="J9" s="383"/>
      <c r="K9" s="65" t="s">
        <v>515</v>
      </c>
      <c r="L9" s="62" t="s">
        <v>516</v>
      </c>
      <c r="M9" s="62" t="s">
        <v>517</v>
      </c>
      <c r="N9" s="63" t="s">
        <v>518</v>
      </c>
      <c r="P9" s="369">
        <v>0</v>
      </c>
      <c r="Q9" s="369">
        <v>0</v>
      </c>
      <c r="R9" s="369">
        <v>0</v>
      </c>
      <c r="S9" s="370">
        <v>0</v>
      </c>
    </row>
    <row r="10" spans="1:19" ht="27.75" customHeight="1">
      <c r="A10" s="52" t="s">
        <v>519</v>
      </c>
      <c r="B10" s="220" t="s">
        <v>520</v>
      </c>
      <c r="C10" s="338">
        <v>244865474</v>
      </c>
      <c r="D10" s="339">
        <f>663997+694462+2380701+5625885+60181+1519777+2979938+32576+220338+272978</f>
        <v>14450833</v>
      </c>
      <c r="E10" s="221">
        <v>0</v>
      </c>
      <c r="F10" s="340">
        <f>66904+312982+6179+185963+7945</f>
        <v>579973</v>
      </c>
      <c r="G10" s="357">
        <f>C10-D10-E10-F10</f>
        <v>229834668</v>
      </c>
      <c r="I10" s="248"/>
      <c r="J10" s="384"/>
      <c r="K10" s="231">
        <f>C10</f>
        <v>244865474</v>
      </c>
      <c r="L10" s="252"/>
      <c r="M10" s="221">
        <v>52913923</v>
      </c>
      <c r="N10" s="222">
        <f>K10-L10-M10</f>
        <v>191951551</v>
      </c>
      <c r="P10" s="369">
        <v>0</v>
      </c>
      <c r="Q10" s="369">
        <v>0</v>
      </c>
      <c r="R10" s="369">
        <v>0</v>
      </c>
      <c r="S10" s="370">
        <v>0</v>
      </c>
    </row>
    <row r="11" spans="1:19" ht="26.25">
      <c r="A11" s="52" t="s">
        <v>521</v>
      </c>
      <c r="B11" s="223" t="s">
        <v>522</v>
      </c>
      <c r="C11" s="341">
        <v>0</v>
      </c>
      <c r="D11" s="342">
        <v>0</v>
      </c>
      <c r="E11" s="224">
        <v>0</v>
      </c>
      <c r="F11" s="343">
        <v>0</v>
      </c>
      <c r="G11" s="356">
        <f>C11-D11-E11-F11</f>
        <v>0</v>
      </c>
      <c r="I11" s="227"/>
      <c r="J11" s="385"/>
      <c r="K11" s="232">
        <f>C11</f>
        <v>0</v>
      </c>
      <c r="L11" s="145">
        <v>0</v>
      </c>
      <c r="M11" s="354">
        <v>0</v>
      </c>
      <c r="N11" s="225">
        <f>K11-L11-M11</f>
        <v>0</v>
      </c>
      <c r="P11" s="369">
        <v>0</v>
      </c>
      <c r="Q11" s="369">
        <v>0</v>
      </c>
      <c r="R11" s="369">
        <v>0</v>
      </c>
      <c r="S11" s="370">
        <v>0</v>
      </c>
    </row>
    <row r="12" spans="1:19" ht="26.25">
      <c r="A12" s="52" t="s">
        <v>523</v>
      </c>
      <c r="B12" s="66" t="s">
        <v>524</v>
      </c>
      <c r="C12" s="344">
        <f>SUM(C10:C11)</f>
        <v>244865474</v>
      </c>
      <c r="D12" s="345">
        <f>SUM(D10:D11)</f>
        <v>14450833</v>
      </c>
      <c r="E12" s="67">
        <f>SUM(E10:E11)</f>
        <v>0</v>
      </c>
      <c r="F12" s="346">
        <f>SUM(F10:F11)</f>
        <v>579973</v>
      </c>
      <c r="G12" s="347">
        <f>C12-D12-E12-F12</f>
        <v>229834668</v>
      </c>
      <c r="I12" s="249"/>
      <c r="J12" s="401" t="str">
        <f>IF(ROUND($K$12+$K$25,0)=ROUND('Assegnazione da Regione sk1'!$E$24,0),"OK","ERRORE COD. 2")</f>
        <v>OK</v>
      </c>
      <c r="K12" s="67">
        <f>SUM(K10:K11)</f>
        <v>244865474</v>
      </c>
      <c r="L12" s="67">
        <f>SUM(L10:L11)</f>
        <v>0</v>
      </c>
      <c r="M12" s="67">
        <f>SUM(M10:M11)</f>
        <v>52913923</v>
      </c>
      <c r="N12" s="67">
        <f>SUM(N10:N11)</f>
        <v>191951551</v>
      </c>
      <c r="P12" s="369">
        <v>0</v>
      </c>
      <c r="Q12" s="369">
        <v>0</v>
      </c>
      <c r="R12" s="369">
        <v>0</v>
      </c>
      <c r="S12" s="370">
        <v>0</v>
      </c>
    </row>
    <row r="13" spans="1:19" ht="49.5" customHeight="1">
      <c r="A13" s="52" t="s">
        <v>525</v>
      </c>
      <c r="B13" s="226" t="s">
        <v>526</v>
      </c>
      <c r="C13" s="348">
        <v>19500000</v>
      </c>
      <c r="D13" s="355"/>
      <c r="E13" s="359"/>
      <c r="F13" s="360"/>
      <c r="G13" s="355"/>
      <c r="I13" s="246"/>
      <c r="K13" s="252"/>
      <c r="L13" s="252"/>
      <c r="M13" s="222">
        <f>C13</f>
        <v>19500000</v>
      </c>
      <c r="N13" s="252"/>
      <c r="O13" s="69"/>
      <c r="P13" s="371"/>
      <c r="Q13" s="371"/>
      <c r="R13" s="369"/>
      <c r="S13" s="369"/>
    </row>
    <row r="14" spans="1:19" ht="49.5" customHeight="1" thickBot="1">
      <c r="A14" s="52" t="s">
        <v>527</v>
      </c>
      <c r="B14" s="228" t="s">
        <v>528</v>
      </c>
      <c r="C14" s="349">
        <v>0.01</v>
      </c>
      <c r="D14" s="361"/>
      <c r="E14" s="362"/>
      <c r="F14" s="363"/>
      <c r="G14" s="358"/>
      <c r="I14" s="247"/>
      <c r="K14" s="350"/>
      <c r="L14" s="350"/>
      <c r="M14" s="245">
        <f>C14</f>
        <v>0.01</v>
      </c>
      <c r="N14" s="350"/>
      <c r="O14" s="69"/>
      <c r="P14" s="369">
        <v>0</v>
      </c>
      <c r="Q14" s="369">
        <v>0</v>
      </c>
      <c r="R14" s="369">
        <v>0</v>
      </c>
      <c r="S14" s="370">
        <v>0</v>
      </c>
    </row>
    <row r="15" spans="2:19" ht="26.25">
      <c r="B15" s="69"/>
      <c r="C15" s="69"/>
      <c r="D15" s="69"/>
      <c r="E15" s="69"/>
      <c r="F15" s="69"/>
      <c r="G15" s="69"/>
      <c r="H15" s="380"/>
      <c r="I15" s="69"/>
      <c r="J15" s="407"/>
      <c r="K15" s="69"/>
      <c r="L15" s="69"/>
      <c r="M15" s="69"/>
      <c r="N15" s="69"/>
      <c r="O15" s="69"/>
      <c r="P15" s="369">
        <v>0</v>
      </c>
      <c r="Q15" s="369">
        <v>0</v>
      </c>
      <c r="R15" s="369">
        <v>0</v>
      </c>
      <c r="S15" s="370">
        <v>0</v>
      </c>
    </row>
    <row r="16" spans="2:19" ht="26.25">
      <c r="B16" s="59" t="s">
        <v>529</v>
      </c>
      <c r="P16" s="369">
        <v>0</v>
      </c>
      <c r="Q16" s="369">
        <v>0</v>
      </c>
      <c r="R16" s="369">
        <v>0</v>
      </c>
      <c r="S16" s="370">
        <v>0</v>
      </c>
    </row>
    <row r="17" spans="16:19" ht="15.75" thickBot="1">
      <c r="P17" s="372"/>
      <c r="Q17" s="372"/>
      <c r="R17" s="372"/>
      <c r="S17" s="372"/>
    </row>
    <row r="18" spans="2:24" s="60" customFormat="1" ht="81" customHeight="1">
      <c r="B18" s="61" t="s">
        <v>530</v>
      </c>
      <c r="C18" s="333" t="s">
        <v>509</v>
      </c>
      <c r="D18" s="334" t="s">
        <v>510</v>
      </c>
      <c r="E18" s="335" t="s">
        <v>511</v>
      </c>
      <c r="F18" s="336" t="s">
        <v>512</v>
      </c>
      <c r="G18" s="337" t="s">
        <v>513</v>
      </c>
      <c r="H18" s="379"/>
      <c r="I18" s="64" t="s">
        <v>514</v>
      </c>
      <c r="J18" s="382"/>
      <c r="K18" s="65" t="s">
        <v>531</v>
      </c>
      <c r="L18" s="62" t="s">
        <v>516</v>
      </c>
      <c r="M18" s="62" t="s">
        <v>517</v>
      </c>
      <c r="N18" s="63" t="s">
        <v>518</v>
      </c>
      <c r="P18" s="373" t="s">
        <v>532</v>
      </c>
      <c r="Q18" s="374" t="s">
        <v>533</v>
      </c>
      <c r="R18" s="374" t="s">
        <v>517</v>
      </c>
      <c r="S18" s="375" t="s">
        <v>534</v>
      </c>
      <c r="U18" s="52"/>
      <c r="V18" s="52"/>
      <c r="W18" s="52"/>
      <c r="X18" s="52"/>
    </row>
    <row r="19" spans="1:19" ht="36.75" customHeight="1">
      <c r="A19" s="52" t="s">
        <v>535</v>
      </c>
      <c r="B19" s="220" t="s">
        <v>520</v>
      </c>
      <c r="C19" s="338">
        <v>20833000</v>
      </c>
      <c r="D19" s="339">
        <f>93412+6919+201103+100884+18197</f>
        <v>420515</v>
      </c>
      <c r="E19" s="221">
        <v>0</v>
      </c>
      <c r="F19" s="471">
        <f>894+16815+18549</f>
        <v>36258</v>
      </c>
      <c r="G19" s="357">
        <f>C19-D19-E19-F19</f>
        <v>20376227</v>
      </c>
      <c r="I19" s="248"/>
      <c r="J19" s="385"/>
      <c r="K19" s="221">
        <v>0</v>
      </c>
      <c r="L19" s="252"/>
      <c r="M19" s="221">
        <v>0</v>
      </c>
      <c r="N19" s="222">
        <f>K19-L19-M19</f>
        <v>0</v>
      </c>
      <c r="O19" s="408" t="str">
        <f>IF($C$19=$K$19+$P$19,"OK","ERRORE COD. 4")</f>
        <v>OK</v>
      </c>
      <c r="P19" s="221">
        <v>20833000</v>
      </c>
      <c r="Q19" s="252"/>
      <c r="R19" s="221">
        <v>4785000</v>
      </c>
      <c r="S19" s="222">
        <f>P19-Q19-R19</f>
        <v>16048000</v>
      </c>
    </row>
    <row r="20" spans="1:19" ht="26.25">
      <c r="A20" s="52" t="s">
        <v>536</v>
      </c>
      <c r="B20" s="223" t="s">
        <v>522</v>
      </c>
      <c r="C20" s="341">
        <v>0</v>
      </c>
      <c r="D20" s="342">
        <v>0</v>
      </c>
      <c r="E20" s="224">
        <v>0</v>
      </c>
      <c r="F20" s="343">
        <v>0</v>
      </c>
      <c r="G20" s="356">
        <f>C20-D20-E20-F20</f>
        <v>0</v>
      </c>
      <c r="I20" s="240"/>
      <c r="J20" s="401" t="str">
        <f>IF($K$20=ROUND('Assegnazione da Regione sk1'!$F$51,0),"OK","ERRORE COD. 3")</f>
        <v>OK</v>
      </c>
      <c r="K20" s="376">
        <v>0</v>
      </c>
      <c r="L20" s="365">
        <v>0</v>
      </c>
      <c r="M20" s="354">
        <v>0</v>
      </c>
      <c r="N20" s="225">
        <f>K20-L20-M20</f>
        <v>0</v>
      </c>
      <c r="O20" s="401" t="str">
        <f>IF($C$20=$K$20+$P$20,"OK","ERRORE COD. 5")</f>
        <v>OK</v>
      </c>
      <c r="P20" s="364">
        <v>0</v>
      </c>
      <c r="Q20" s="365">
        <v>0</v>
      </c>
      <c r="R20" s="354">
        <v>0</v>
      </c>
      <c r="S20" s="225">
        <f>P20-Q20-R20</f>
        <v>0</v>
      </c>
    </row>
    <row r="21" spans="1:19" ht="26.25">
      <c r="A21" s="52" t="s">
        <v>537</v>
      </c>
      <c r="B21" s="66" t="s">
        <v>538</v>
      </c>
      <c r="C21" s="344">
        <f>SUM(C19:C20)</f>
        <v>20833000</v>
      </c>
      <c r="D21" s="345">
        <f>SUM(D19:D20)</f>
        <v>420515</v>
      </c>
      <c r="E21" s="67">
        <f>SUM(E19:E20)</f>
        <v>0</v>
      </c>
      <c r="F21" s="346">
        <f>SUM(F19:F20)</f>
        <v>36258</v>
      </c>
      <c r="G21" s="347">
        <f>SUM(G19:G20)</f>
        <v>20376227</v>
      </c>
      <c r="I21" s="68"/>
      <c r="J21" s="384"/>
      <c r="K21" s="67">
        <f>SUM(K19:K20)</f>
        <v>0</v>
      </c>
      <c r="L21" s="67">
        <f>SUM(L19:L20)</f>
        <v>0</v>
      </c>
      <c r="M21" s="67">
        <f>SUM(M19:M20)</f>
        <v>0</v>
      </c>
      <c r="N21" s="67">
        <f>SUM(N19:N20)</f>
        <v>0</v>
      </c>
      <c r="P21" s="67">
        <f>SUM(P19:P20)</f>
        <v>20833000</v>
      </c>
      <c r="Q21" s="67">
        <f>SUM(Q19:Q20)</f>
        <v>0</v>
      </c>
      <c r="R21" s="67">
        <f>SUM(R19:R20)</f>
        <v>4785000</v>
      </c>
      <c r="S21" s="67">
        <f>SUM(S19:S20)</f>
        <v>16048000</v>
      </c>
    </row>
    <row r="22" spans="1:19" ht="49.5" customHeight="1">
      <c r="A22" s="52" t="s">
        <v>539</v>
      </c>
      <c r="B22" s="226" t="s">
        <v>526</v>
      </c>
      <c r="C22" s="348">
        <v>550000</v>
      </c>
      <c r="D22" s="355"/>
      <c r="E22" s="359"/>
      <c r="F22" s="360"/>
      <c r="G22" s="355"/>
      <c r="I22" s="246"/>
      <c r="J22" s="382"/>
      <c r="K22" s="252"/>
      <c r="L22" s="252"/>
      <c r="M22" s="221">
        <v>0.01</v>
      </c>
      <c r="N22" s="252"/>
      <c r="P22" s="252"/>
      <c r="Q22" s="252"/>
      <c r="R22" s="221">
        <v>0.01</v>
      </c>
      <c r="S22" s="252"/>
    </row>
    <row r="23" spans="1:19" ht="49.5" customHeight="1" thickBot="1">
      <c r="A23" s="52" t="s">
        <v>540</v>
      </c>
      <c r="B23" s="228" t="s">
        <v>528</v>
      </c>
      <c r="C23" s="349">
        <v>0.01</v>
      </c>
      <c r="D23" s="361"/>
      <c r="E23" s="362"/>
      <c r="F23" s="363"/>
      <c r="G23" s="358"/>
      <c r="I23" s="247"/>
      <c r="J23" s="382"/>
      <c r="K23" s="350"/>
      <c r="L23" s="350"/>
      <c r="M23" s="366">
        <v>0.01</v>
      </c>
      <c r="N23" s="350"/>
      <c r="P23" s="350"/>
      <c r="Q23" s="350"/>
      <c r="R23" s="366">
        <v>0.01</v>
      </c>
      <c r="S23" s="350"/>
    </row>
    <row r="24" spans="2:17" ht="26.25">
      <c r="B24" s="69"/>
      <c r="C24" s="69"/>
      <c r="D24" s="69"/>
      <c r="E24" s="69"/>
      <c r="F24" s="69"/>
      <c r="G24" s="69"/>
      <c r="H24" s="380"/>
      <c r="I24" s="69"/>
      <c r="J24" s="380"/>
      <c r="K24" s="69"/>
      <c r="L24" s="69"/>
      <c r="M24" s="69"/>
      <c r="N24" s="69"/>
      <c r="O24" s="69"/>
      <c r="P24" s="69"/>
      <c r="Q24" s="69"/>
    </row>
    <row r="25" spans="1:19" ht="26.25">
      <c r="A25" s="52" t="s">
        <v>541</v>
      </c>
      <c r="B25" s="244" t="s">
        <v>542</v>
      </c>
      <c r="C25" s="367">
        <f>K25</f>
        <v>0</v>
      </c>
      <c r="D25" s="243"/>
      <c r="E25" s="368"/>
      <c r="F25" s="368"/>
      <c r="G25" s="243"/>
      <c r="I25" s="250"/>
      <c r="J25" s="377" t="str">
        <f>IF($K$12+$K$25='Assegnazione da Regione sk1'!$E$24,"OK","Squadratura")</f>
        <v>OK</v>
      </c>
      <c r="K25" s="251">
        <v>0</v>
      </c>
      <c r="L25" s="243"/>
      <c r="M25" s="251">
        <v>0</v>
      </c>
      <c r="N25" s="351">
        <f>K25-M25</f>
        <v>0</v>
      </c>
      <c r="O25" s="69"/>
      <c r="P25" s="388">
        <v>0</v>
      </c>
      <c r="Q25" s="368"/>
      <c r="R25" s="388">
        <v>0</v>
      </c>
      <c r="S25" s="367">
        <f>P25-R25</f>
        <v>0</v>
      </c>
    </row>
    <row r="26" spans="1:19" ht="26.25">
      <c r="A26" s="52" t="s">
        <v>543</v>
      </c>
      <c r="B26" s="241" t="s">
        <v>544</v>
      </c>
      <c r="C26" s="89">
        <f>C12+C25+C21</f>
        <v>265698474</v>
      </c>
      <c r="D26" s="352"/>
      <c r="E26" s="352"/>
      <c r="F26" s="352"/>
      <c r="G26" s="352"/>
      <c r="I26" s="242"/>
      <c r="K26" s="89">
        <f>K12+K25+K21</f>
        <v>244865474</v>
      </c>
      <c r="L26" s="89">
        <f>L12+L21</f>
        <v>0</v>
      </c>
      <c r="M26" s="89">
        <f>M12+M25+M21</f>
        <v>52913923</v>
      </c>
      <c r="N26" s="89">
        <f>K26-L26-M26</f>
        <v>191951551</v>
      </c>
      <c r="O26" s="69"/>
      <c r="P26" s="89">
        <f>P21+P25</f>
        <v>20833000</v>
      </c>
      <c r="Q26" s="89">
        <f>Q21</f>
        <v>0</v>
      </c>
      <c r="R26" s="89">
        <f>R21+R25</f>
        <v>4785000</v>
      </c>
      <c r="S26" s="89">
        <f>S21+S25</f>
        <v>16048000</v>
      </c>
    </row>
    <row r="27" spans="2:17" ht="26.25">
      <c r="B27" s="69"/>
      <c r="C27" s="69"/>
      <c r="D27" s="69"/>
      <c r="E27" s="69"/>
      <c r="F27" s="69"/>
      <c r="G27" s="69"/>
      <c r="H27" s="380"/>
      <c r="I27" s="69"/>
      <c r="J27" s="380"/>
      <c r="K27" s="69"/>
      <c r="L27" s="69"/>
      <c r="M27" s="69"/>
      <c r="N27" s="69"/>
      <c r="O27" s="69"/>
      <c r="P27" s="69"/>
      <c r="Q27" s="69"/>
    </row>
    <row r="28" spans="2:17" ht="26.25">
      <c r="B28" s="69"/>
      <c r="C28" s="69"/>
      <c r="D28" s="69"/>
      <c r="E28" s="353"/>
      <c r="F28" s="69"/>
      <c r="G28" s="69"/>
      <c r="H28" s="380"/>
      <c r="I28" s="69"/>
      <c r="J28" s="380"/>
      <c r="K28" s="69"/>
      <c r="L28" s="69"/>
      <c r="M28" s="353"/>
      <c r="N28" s="69"/>
      <c r="O28" s="69"/>
      <c r="P28" s="69"/>
      <c r="Q28" s="69"/>
    </row>
    <row r="30" spans="2:19" ht="80.25" customHeight="1">
      <c r="B30" s="511" t="s">
        <v>545</v>
      </c>
      <c r="C30" s="253" t="s">
        <v>546</v>
      </c>
      <c r="D30" s="253" t="s">
        <v>547</v>
      </c>
      <c r="E30" s="253" t="s">
        <v>548</v>
      </c>
      <c r="F30" s="253" t="s">
        <v>549</v>
      </c>
      <c r="G30" s="337" t="s">
        <v>513</v>
      </c>
      <c r="H30" s="385"/>
      <c r="K30" s="253" t="s">
        <v>550</v>
      </c>
      <c r="L30" s="253" t="s">
        <v>551</v>
      </c>
      <c r="M30" s="253" t="s">
        <v>552</v>
      </c>
      <c r="N30" s="253" t="s">
        <v>534</v>
      </c>
      <c r="P30" s="253" t="s">
        <v>553</v>
      </c>
      <c r="Q30" s="253" t="s">
        <v>554</v>
      </c>
      <c r="R30" s="253" t="s">
        <v>552</v>
      </c>
      <c r="S30" s="253" t="s">
        <v>534</v>
      </c>
    </row>
    <row r="31" spans="1:19" ht="27.75" customHeight="1">
      <c r="A31" s="254" t="s">
        <v>555</v>
      </c>
      <c r="B31" s="512"/>
      <c r="C31" s="219">
        <f>+C12+C21+C25</f>
        <v>265698474</v>
      </c>
      <c r="D31" s="219">
        <f>+D12+D21</f>
        <v>14871348</v>
      </c>
      <c r="E31" s="219">
        <f>+E12+E21</f>
        <v>0</v>
      </c>
      <c r="F31" s="219">
        <f>F12+F21</f>
        <v>616231</v>
      </c>
      <c r="G31" s="219">
        <f>C31-D31-E31-F31</f>
        <v>250210895</v>
      </c>
      <c r="K31" s="219">
        <f>K12+K21+K25</f>
        <v>244865474</v>
      </c>
      <c r="L31" s="219">
        <f>+L12+L21</f>
        <v>0</v>
      </c>
      <c r="M31" s="219">
        <f>M12+M21+M25</f>
        <v>52913923</v>
      </c>
      <c r="N31" s="219">
        <f>+N12+N21+N25</f>
        <v>191951551</v>
      </c>
      <c r="O31" s="401" t="str">
        <f>IF($P$31=ROUND('Assegnazione da Regione sk1'!$F$9,0),"OK","ERRORE COD. 1")</f>
        <v>OK</v>
      </c>
      <c r="P31" s="219">
        <f>+P21+P25</f>
        <v>20833000</v>
      </c>
      <c r="Q31" s="219">
        <f>+Q21</f>
        <v>0</v>
      </c>
      <c r="R31" s="219">
        <f>+R21+R25</f>
        <v>4785000</v>
      </c>
      <c r="S31" s="219">
        <f>+S21+S25</f>
        <v>16048000</v>
      </c>
    </row>
    <row r="34" spans="2:14" s="60" customFormat="1" ht="59.25" customHeight="1">
      <c r="B34" s="70" t="s">
        <v>556</v>
      </c>
      <c r="C34" s="62" t="str">
        <f>"all'1.1."&amp;Info!$B$3</f>
        <v>all'1.1.2019</v>
      </c>
      <c r="D34" s="62" t="s">
        <v>557</v>
      </c>
      <c r="E34" s="62" t="s">
        <v>558</v>
      </c>
      <c r="F34" s="62" t="s">
        <v>512</v>
      </c>
      <c r="G34" s="63" t="s">
        <v>559</v>
      </c>
      <c r="H34" s="377"/>
      <c r="I34" s="64" t="s">
        <v>514</v>
      </c>
      <c r="J34" s="379"/>
      <c r="K34" s="62" t="s">
        <v>560</v>
      </c>
      <c r="L34" s="62" t="s">
        <v>561</v>
      </c>
      <c r="M34" s="62" t="s">
        <v>562</v>
      </c>
      <c r="N34" s="63" t="s">
        <v>559</v>
      </c>
    </row>
    <row r="35" spans="1:14" ht="24.75" customHeight="1">
      <c r="A35" s="52" t="s">
        <v>563</v>
      </c>
      <c r="B35" s="220" t="s">
        <v>564</v>
      </c>
      <c r="C35" s="221">
        <v>59134627</v>
      </c>
      <c r="D35" s="166">
        <f>776392+117280+7312798+3579997+2141096+4014628+3289532+3758001+247657+74646+78522</f>
        <v>25390549</v>
      </c>
      <c r="E35" s="221">
        <v>0</v>
      </c>
      <c r="F35" s="221">
        <f>959756+277831+606310+18079+392588+1520</f>
        <v>2256084</v>
      </c>
      <c r="G35" s="222">
        <f>C35-D35-E35-F35</f>
        <v>31487994</v>
      </c>
      <c r="I35" s="248"/>
      <c r="K35" s="221">
        <v>0</v>
      </c>
      <c r="L35" s="166">
        <v>0</v>
      </c>
      <c r="M35" s="221">
        <v>0</v>
      </c>
      <c r="N35" s="222">
        <f>K35-L35-M35</f>
        <v>0</v>
      </c>
    </row>
    <row r="36" spans="1:14" ht="26.25">
      <c r="A36" s="52" t="s">
        <v>565</v>
      </c>
      <c r="B36" s="223" t="s">
        <v>566</v>
      </c>
      <c r="C36" s="224">
        <v>0</v>
      </c>
      <c r="D36" s="145">
        <v>0</v>
      </c>
      <c r="E36" s="224">
        <v>0</v>
      </c>
      <c r="F36" s="224">
        <v>0</v>
      </c>
      <c r="G36" s="225">
        <f>C36-D36-E36-F36</f>
        <v>0</v>
      </c>
      <c r="I36" s="227"/>
      <c r="K36" s="224">
        <v>0</v>
      </c>
      <c r="L36" s="145">
        <v>0</v>
      </c>
      <c r="M36" s="224">
        <v>0</v>
      </c>
      <c r="N36" s="225">
        <f>K36-L36-M36</f>
        <v>0</v>
      </c>
    </row>
    <row r="37" spans="1:14" ht="26.25">
      <c r="A37" s="52" t="s">
        <v>567</v>
      </c>
      <c r="B37" s="255" t="s">
        <v>568</v>
      </c>
      <c r="C37" s="256">
        <f>SUM(C35:C36)</f>
        <v>59134627</v>
      </c>
      <c r="D37" s="256">
        <f>SUM(D35:D36)</f>
        <v>25390549</v>
      </c>
      <c r="E37" s="256">
        <f>SUM(E35:E36)</f>
        <v>0</v>
      </c>
      <c r="F37" s="256"/>
      <c r="G37" s="256">
        <f>SUM(G35:G36)</f>
        <v>31487994</v>
      </c>
      <c r="I37" s="249"/>
      <c r="K37" s="256">
        <f>SUM(K35:K36)</f>
        <v>0</v>
      </c>
      <c r="L37" s="256">
        <f>SUM(L35:L36)</f>
        <v>0</v>
      </c>
      <c r="M37" s="256">
        <f>SUM(M35:M36)</f>
        <v>0</v>
      </c>
      <c r="N37" s="256">
        <f>SUM(N35:N36)</f>
        <v>0</v>
      </c>
    </row>
    <row r="38" ht="18.75">
      <c r="I38" s="60"/>
    </row>
    <row r="40" spans="2:10" s="60" customFormat="1" ht="56.25">
      <c r="B40" s="70" t="s">
        <v>569</v>
      </c>
      <c r="C40" s="62" t="s">
        <v>570</v>
      </c>
      <c r="D40" s="62" t="s">
        <v>571</v>
      </c>
      <c r="E40" s="62" t="s">
        <v>558</v>
      </c>
      <c r="F40" s="62" t="s">
        <v>572</v>
      </c>
      <c r="G40" s="63" t="s">
        <v>573</v>
      </c>
      <c r="H40" s="377"/>
      <c r="I40" s="52"/>
      <c r="J40" s="379"/>
    </row>
    <row r="41" spans="1:14" ht="18.75">
      <c r="A41" s="52" t="s">
        <v>574</v>
      </c>
      <c r="B41" s="220" t="s">
        <v>564</v>
      </c>
      <c r="C41" s="231">
        <f aca="true" t="shared" si="0" ref="C41:G42">C10+C19+C35</f>
        <v>324833101</v>
      </c>
      <c r="D41" s="231">
        <f t="shared" si="0"/>
        <v>40261897</v>
      </c>
      <c r="E41" s="231">
        <f t="shared" si="0"/>
        <v>0</v>
      </c>
      <c r="F41" s="231">
        <f t="shared" si="0"/>
        <v>2872315</v>
      </c>
      <c r="G41" s="231">
        <f t="shared" si="0"/>
        <v>281698889</v>
      </c>
      <c r="J41" s="379"/>
      <c r="K41" s="60"/>
      <c r="L41" s="60"/>
      <c r="M41" s="60"/>
      <c r="N41" s="60"/>
    </row>
    <row r="42" spans="1:7" ht="18.75">
      <c r="A42" s="52" t="s">
        <v>575</v>
      </c>
      <c r="B42" s="223" t="s">
        <v>566</v>
      </c>
      <c r="C42" s="232">
        <f t="shared" si="0"/>
        <v>0</v>
      </c>
      <c r="D42" s="232">
        <f t="shared" si="0"/>
        <v>0</v>
      </c>
      <c r="E42" s="232">
        <f t="shared" si="0"/>
        <v>0</v>
      </c>
      <c r="F42" s="232">
        <f t="shared" si="0"/>
        <v>0</v>
      </c>
      <c r="G42" s="232">
        <f t="shared" si="0"/>
        <v>0</v>
      </c>
    </row>
    <row r="43" spans="1:7" ht="18.75">
      <c r="A43" s="52" t="s">
        <v>576</v>
      </c>
      <c r="B43" s="255" t="s">
        <v>568</v>
      </c>
      <c r="C43" s="256">
        <f>SUM(C41:C42)</f>
        <v>324833101</v>
      </c>
      <c r="D43" s="256">
        <f>SUM(D41:D42)</f>
        <v>40261897</v>
      </c>
      <c r="E43" s="256">
        <f>SUM(E41:E42)</f>
        <v>0</v>
      </c>
      <c r="F43" s="256"/>
      <c r="G43" s="256">
        <f>SUM(G41:G42)</f>
        <v>281698889</v>
      </c>
    </row>
  </sheetData>
  <sheetProtection password="A01C" sheet="1"/>
  <mergeCells count="2">
    <mergeCell ref="K5:S5"/>
    <mergeCell ref="B30:B31"/>
  </mergeCells>
  <conditionalFormatting sqref="J12 J20 O31">
    <cfRule type="cellIs" priority="31" dxfId="20" operator="equal" stopIfTrue="1">
      <formula>"OK"</formula>
    </cfRule>
    <cfRule type="cellIs" priority="33" dxfId="21" operator="notEqual" stopIfTrue="1">
      <formula>"OK"</formula>
    </cfRule>
  </conditionalFormatting>
  <conditionalFormatting sqref="O19">
    <cfRule type="cellIs" priority="27" dxfId="20" operator="equal" stopIfTrue="1">
      <formula>"OK"</formula>
    </cfRule>
    <cfRule type="cellIs" priority="28" dxfId="21" operator="notEqual" stopIfTrue="1">
      <formula>"OK"</formula>
    </cfRule>
  </conditionalFormatting>
  <conditionalFormatting sqref="O20">
    <cfRule type="cellIs" priority="25" dxfId="20" operator="equal" stopIfTrue="1">
      <formula>"OK"</formula>
    </cfRule>
    <cfRule type="cellIs" priority="26" dxfId="21" operator="notEqual" stopIfTrue="1">
      <formula>"OK"</formula>
    </cfRule>
  </conditionalFormatting>
  <conditionalFormatting sqref="J7">
    <cfRule type="cellIs" priority="5" dxfId="20" operator="equal" stopIfTrue="1">
      <formula>"OK"</formula>
    </cfRule>
    <cfRule type="expression" priority="6" dxfId="22" stopIfTrue="1">
      <formula>SEARCH("non",J7)&gt;0</formula>
    </cfRule>
  </conditionalFormatting>
  <conditionalFormatting sqref="J7">
    <cfRule type="cellIs" priority="3" dxfId="20" operator="equal" stopIfTrue="1">
      <formula>"OK"</formula>
    </cfRule>
    <cfRule type="expression" priority="4" dxfId="23" stopIfTrue="1">
      <formula>SEARCH("non",J7)&gt;0</formula>
    </cfRule>
  </conditionalFormatting>
  <conditionalFormatting sqref="J7">
    <cfRule type="expression" priority="1" dxfId="23" stopIfTrue="1">
      <formula>SEARCH("non",J7)&gt;0</formula>
    </cfRule>
    <cfRule type="expression" priority="2" dxfId="24" stopIfTrue="1">
      <formula>ISERROR(SEARCH("non",J7))</formula>
    </cfRule>
  </conditionalFormatting>
  <printOptions/>
  <pageMargins left="0.1968503937007874" right="0.1968503937007874" top="0.7480314960629921" bottom="0.7480314960629921" header="0.31496062992125984" footer="0.31496062992125984"/>
  <pageSetup fitToHeight="39" fitToWidth="1" horizontalDpi="600" verticalDpi="600" orientation="landscape" paperSize="8" scale="37" r:id="rId1"/>
  <headerFooter>
    <oddHeader>&amp;L&amp;14Piano di cassa dei flussi prospettici&amp;R&amp;14&amp;D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Mariga Cristiana Maria Neve</cp:lastModifiedBy>
  <cp:lastPrinted>2016-09-05T14:32:55Z</cp:lastPrinted>
  <dcterms:created xsi:type="dcterms:W3CDTF">2016-02-03T11:33:56Z</dcterms:created>
  <dcterms:modified xsi:type="dcterms:W3CDTF">2021-06-16T08:08:36Z</dcterms:modified>
  <cp:category/>
  <cp:version/>
  <cp:contentType/>
  <cp:contentStatus/>
</cp:coreProperties>
</file>